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defaultThemeVersion="166925"/>
  <mc:AlternateContent xmlns:mc="http://schemas.openxmlformats.org/markup-compatibility/2006">
    <mc:Choice Requires="x15">
      <x15ac:absPath xmlns:x15ac="http://schemas.microsoft.com/office/spreadsheetml/2010/11/ac" url="Z:\Patricia Victoria\Trimestral\02 enero-junio 21\IAT\INDICADORES\"/>
    </mc:Choice>
  </mc:AlternateContent>
  <xr:revisionPtr revIDLastSave="0" documentId="13_ncr:1_{536A97CD-11B5-40DA-B272-A1D56DCE0BC2}"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Lst>
</workbook>
</file>

<file path=xl/calcChain.xml><?xml version="1.0" encoding="utf-8"?>
<calcChain xmlns="http://schemas.openxmlformats.org/spreadsheetml/2006/main">
  <c r="AA16" i="9" l="1"/>
  <c r="AA21" i="9"/>
  <c r="AA36" i="9"/>
  <c r="AD22" i="9" l="1"/>
  <c r="AD23" i="9"/>
  <c r="AD24" i="9"/>
  <c r="AD19" i="9"/>
  <c r="AD20" i="9"/>
  <c r="AD21" i="9"/>
  <c r="AD16" i="9"/>
  <c r="AD14" i="9" l="1"/>
  <c r="AD15" i="9"/>
  <c r="AD17" i="9"/>
  <c r="AD18"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I47" i="9"/>
  <c r="H14" i="9"/>
  <c r="B14" i="9" s="1"/>
  <c r="P14" i="9" s="1"/>
  <c r="H13" i="9"/>
  <c r="B13" i="9" s="1"/>
  <c r="D13" i="9" s="1"/>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E22"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<sst xmlns="http://schemas.openxmlformats.org/spreadsheetml/2006/main" count="61780" uniqueCount="16562">
  <si>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</si>
  <si>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</si>
  <si>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</si>
  <si>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</si>
  <si>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</si>
  <si>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</si>
  <si>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</si>
  <si>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</si>
  <si>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</si>
  <si>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</si>
  <si>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</si>
  <si>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</si>
  <si>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</si>
  <si>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</si>
  <si>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</si>
  <si>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</si>
  <si>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</si>
  <si>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</si>
  <si>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</si>
  <si>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</si>
  <si>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</si>
  <si>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</si>
  <si>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</si>
  <si>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</si>
  <si>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</si>
  <si>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</si>
  <si>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</si>
  <si>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</si>
  <si>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</si>
  <si>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</si>
  <si>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</si>
  <si>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</si>
  <si>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</si>
  <si>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</si>
  <si>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</si>
  <si>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</si>
  <si>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</si>
  <si>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</si>
  <si>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</si>
  <si>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</si>
  <si>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</si>
  <si>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</si>
  <si>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</si>
  <si>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</si>
  <si>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</si>
  <si>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</si>
  <si>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</si>
  <si>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</si>
  <si>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</si>
  <si>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</si>
  <si>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</si>
  <si>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</si>
  <si>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</si>
  <si>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</si>
  <si>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</si>
  <si>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</si>
  <si>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</si>
  <si>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</si>
  <si>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</si>
  <si>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</si>
  <si>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</si>
  <si>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</si>
  <si>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</si>
  <si>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</si>
  <si>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</si>
  <si>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</si>
  <si>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</si>
  <si>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</si>
  <si>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</si>
  <si>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</si>
  <si>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</si>
  <si>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</si>
  <si>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</si>
  <si>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</si>
  <si>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</si>
  <si>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</si>
  <si>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</si>
  <si>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</si>
  <si>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</si>
  <si>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</si>
  <si>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</si>
  <si>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</si>
  <si>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</si>
  <si>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</si>
  <si>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</si>
  <si>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</si>
  <si>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</si>
  <si>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</si>
  <si>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</si>
  <si>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</si>
  <si>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</si>
  <si>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</si>
  <si>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</si>
  <si>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</si>
  <si>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</si>
  <si>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</si>
  <si>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</si>
  <si>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</si>
  <si>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</si>
  <si>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</si>
  <si>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</si>
  <si>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</si>
  <si>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</si>
  <si>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</si>
  <si>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</si>
  <si>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</si>
  <si>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</si>
  <si>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</si>
  <si>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</si>
  <si>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</si>
  <si>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</si>
  <si>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</si>
  <si>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</si>
  <si>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</si>
  <si>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</si>
  <si>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</si>
  <si>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</si>
  <si>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</si>
  <si>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</si>
  <si>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</si>
  <si>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</si>
  <si>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</si>
  <si>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</si>
  <si>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</si>
  <si>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</si>
  <si>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</si>
  <si>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</si>
  <si>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</si>
  <si>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</si>
  <si>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</si>
  <si>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</si>
  <si>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</si>
  <si>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</si>
  <si>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</si>
  <si>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</si>
  <si>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</si>
  <si>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</si>
  <si>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</si>
  <si>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</si>
  <si>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</si>
  <si>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</si>
  <si>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</si>
  <si>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</si>
  <si>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</si>
  <si>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</si>
  <si>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</si>
  <si>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</si>
  <si>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</si>
  <si>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</si>
  <si>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</si>
  <si>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</si>
  <si>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</si>
  <si>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</si>
  <si>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</si>
  <si>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</si>
  <si>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</si>
  <si>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</si>
  <si>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</si>
  <si>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</si>
  <si>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</si>
  <si>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</si>
  <si>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</si>
  <si>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</si>
  <si>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</si>
  <si>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</si>
  <si>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</si>
  <si>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</si>
  <si>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</si>
  <si>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</si>
  <si>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</si>
  <si>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</si>
  <si>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</si>
  <si>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</si>
  <si>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</si>
  <si>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</si>
  <si>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</si>
  <si>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</si>
  <si>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</si>
  <si>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</si>
  <si>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</si>
  <si>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</si>
  <si>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</si>
  <si>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</si>
  <si>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</si>
  <si>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</si>
  <si>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</si>
  <si>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</si>
  <si>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</si>
  <si>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</si>
  <si>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</si>
  <si>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</si>
  <si>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</si>
  <si>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</si>
  <si>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</si>
  <si>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</si>
  <si>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</si>
  <si>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</si>
  <si>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</si>
  <si>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</si>
  <si>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</si>
  <si>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</si>
  <si>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</si>
  <si>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</si>
  <si>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</si>
  <si>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</si>
  <si>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</si>
  <si>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</si>
  <si>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</si>
  <si>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</si>
  <si>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</si>
  <si>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</si>
  <si>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</si>
  <si>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</si>
  <si>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</si>
  <si>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</si>
  <si>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</si>
  <si>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</si>
  <si>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</si>
  <si>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</si>
  <si>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</si>
  <si>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</si>
  <si>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</si>
  <si>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</si>
  <si>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</si>
  <si>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</si>
  <si>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</si>
  <si>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</si>
  <si>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</si>
  <si>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</si>
  <si>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</si>
  <si>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</si>
  <si>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</si>
  <si>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</si>
  <si>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</si>
  <si>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</si>
  <si>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</si>
  <si>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</si>
  <si>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</si>
  <si>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</si>
  <si>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</si>
  <si>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</si>
  <si>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</si>
  <si>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</si>
  <si>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</si>
  <si>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</si>
  <si>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</si>
  <si>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</si>
  <si>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</si>
  <si>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</si>
  <si>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</si>
  <si>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</si>
  <si>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</si>
  <si>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</si>
  <si>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</si>
  <si>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</si>
  <si>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</si>
  <si>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</si>
  <si>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</si>
  <si>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</si>
  <si>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</si>
  <si>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</si>
  <si>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</si>
  <si>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</si>
  <si>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</si>
  <si>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</si>
  <si>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</si>
  <si>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</si>
  <si>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</si>
  <si>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</si>
  <si>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</si>
  <si>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</si>
  <si>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</si>
  <si>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</si>
  <si>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</si>
  <si>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</si>
  <si>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</si>
  <si>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</si>
  <si>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</si>
  <si>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</si>
  <si>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</si>
  <si>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</si>
  <si>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</si>
  <si>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</si>
  <si>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</si>
  <si>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</si>
  <si>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</si>
  <si>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</si>
  <si>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</si>
  <si>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</si>
  <si>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</si>
  <si>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</si>
  <si>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</si>
  <si>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</si>
  <si>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</si>
  <si>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</si>
  <si>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</si>
  <si>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</si>
  <si>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</si>
  <si>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</si>
  <si>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</si>
  <si>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</si>
  <si>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</si>
  <si>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</si>
  <si>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</si>
  <si>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</si>
  <si>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</si>
  <si>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</si>
  <si>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</si>
  <si>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</si>
  <si>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</si>
  <si>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</si>
  <si>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</si>
  <si>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</si>
  <si>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</si>
  <si>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</si>
  <si>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</si>
  <si>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</si>
  <si>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</si>
  <si>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</si>
  <si>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</si>
  <si>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</si>
  <si>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</si>
  <si>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</si>
  <si>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</si>
  <si>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</si>
  <si>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</si>
  <si>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</si>
  <si>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</si>
  <si>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</si>
  <si>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</si>
  <si>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</si>
  <si>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</si>
  <si>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</si>
  <si>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</si>
  <si>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</si>
  <si>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</si>
  <si>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</si>
  <si>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</si>
  <si>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</si>
  <si>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</si>
  <si>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</si>
  <si>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</si>
  <si>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</si>
  <si>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</si>
  <si>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</si>
  <si>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</si>
  <si>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</si>
  <si>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</si>
  <si>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</si>
  <si>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</si>
  <si>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</si>
  <si>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</si>
  <si>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</si>
  <si>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</si>
  <si>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</si>
  <si>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</si>
  <si>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</si>
  <si>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</si>
  <si>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</si>
  <si>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</si>
  <si>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</si>
  <si>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</si>
  <si>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</si>
  <si>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</si>
  <si>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</si>
  <si>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</si>
  <si>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</si>
  <si>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</si>
  <si>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</si>
  <si>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</si>
  <si>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</si>
  <si>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</si>
  <si>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</si>
  <si>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</si>
  <si>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</si>
  <si>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</si>
  <si>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</si>
  <si>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</si>
  <si>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</si>
  <si>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</si>
  <si>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</si>
  <si>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</si>
  <si>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</si>
  <si>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</si>
  <si>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</si>
  <si>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</si>
  <si>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</si>
  <si>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</si>
  <si>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</si>
  <si>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</si>
  <si>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</si>
  <si>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</si>
  <si>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</si>
  <si>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</si>
  <si>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</si>
  <si>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</si>
  <si>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</si>
  <si>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</si>
  <si>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</si>
  <si>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</si>
  <si>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</si>
  <si>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</si>
  <si>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</si>
  <si>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</si>
  <si>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</si>
  <si>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</si>
  <si>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</si>
  <si>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</si>
  <si>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</si>
  <si>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</si>
  <si>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</si>
  <si>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</si>
  <si>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</si>
  <si>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</si>
  <si>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</si>
  <si>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</si>
  <si>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</si>
  <si>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</si>
  <si>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</si>
  <si>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</si>
  <si>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</si>
  <si>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</si>
  <si>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</si>
  <si>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</si>
  <si>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</si>
  <si>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</si>
  <si>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</si>
  <si>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</si>
  <si>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</si>
  <si>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</si>
  <si>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</si>
  <si>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</si>
  <si>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</si>
  <si>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</si>
  <si>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</si>
  <si>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</si>
  <si>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</si>
  <si>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</si>
  <si>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</si>
  <si>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</si>
  <si>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</si>
  <si>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</si>
  <si>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</si>
  <si>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</si>
  <si>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</si>
  <si>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</si>
  <si>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</si>
  <si>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</si>
  <si>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</si>
  <si>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</si>
  <si>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</si>
  <si>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</si>
  <si>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</si>
  <si>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</si>
  <si>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</si>
  <si>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</si>
  <si>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</si>
  <si>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</si>
  <si>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</si>
  <si>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</si>
  <si>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</si>
  <si>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</si>
  <si>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</si>
  <si>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</si>
  <si>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</si>
  <si>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</si>
  <si>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</si>
  <si>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</si>
  <si>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</si>
  <si>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</si>
  <si>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</si>
  <si>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</si>
  <si>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</si>
  <si>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</si>
  <si>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</si>
  <si>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</si>
  <si>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</si>
  <si>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</si>
  <si>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</si>
  <si>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</si>
  <si>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</si>
  <si>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</si>
  <si>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</si>
  <si>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</si>
  <si>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</si>
  <si>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</si>
  <si>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</si>
  <si>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</si>
  <si>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</si>
  <si>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</si>
  <si>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</si>
  <si>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</si>
  <si>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</si>
  <si>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</si>
  <si>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</si>
  <si>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</si>
  <si>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</si>
  <si>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</si>
  <si>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</si>
  <si>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</si>
  <si>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</si>
  <si>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</si>
  <si>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</si>
  <si>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</si>
  <si>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</si>
  <si>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</si>
  <si>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</si>
  <si>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</si>
  <si>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</si>
  <si>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</si>
  <si>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</si>
  <si>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</si>
  <si>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</si>
  <si>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</si>
  <si>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</si>
  <si>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</si>
  <si>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</si>
  <si>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</si>
  <si>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</si>
  <si>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</si>
  <si>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</si>
  <si>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</si>
  <si>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</si>
  <si>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</si>
  <si>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</si>
  <si>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</si>
  <si>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</si>
  <si>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</si>
  <si>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</si>
  <si>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</si>
  <si>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</si>
  <si>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</si>
  <si>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</si>
  <si>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</si>
  <si>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</si>
  <si>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</si>
  <si>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</si>
  <si>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</si>
  <si>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</si>
  <si>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</si>
  <si>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</si>
  <si>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</si>
  <si>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</si>
  <si>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</si>
  <si>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</si>
  <si>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</si>
  <si>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</si>
  <si>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</si>
  <si>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</si>
  <si>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</si>
  <si>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</si>
  <si>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</si>
  <si>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</si>
  <si>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</si>
  <si>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</si>
  <si>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</si>
  <si>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</si>
  <si>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</si>
  <si>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</si>
  <si>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</si>
  <si>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</si>
  <si>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</si>
  <si>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</si>
  <si>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</si>
  <si>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</si>
  <si>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</si>
  <si>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</si>
  <si>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</si>
  <si>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</si>
  <si>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</si>
  <si>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</si>
  <si>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</si>
  <si>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</si>
  <si>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</si>
  <si>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</si>
  <si>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</si>
  <si>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</si>
  <si>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</si>
  <si>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</si>
  <si>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</si>
  <si>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</si>
  <si>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</si>
  <si>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</si>
  <si>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</si>
  <si>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</si>
  <si>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</si>
  <si>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</si>
  <si>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</si>
  <si>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</si>
  <si>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</si>
  <si>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</si>
  <si>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</si>
  <si>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</si>
  <si>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</si>
  <si>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</si>
  <si>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</si>
  <si>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</si>
  <si>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</si>
  <si>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</si>
  <si>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</si>
  <si>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</si>
  <si>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</si>
  <si>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</si>
  <si>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</si>
  <si>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</si>
  <si>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</si>
  <si>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</si>
  <si>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</si>
  <si>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</si>
  <si>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</si>
  <si>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</si>
  <si>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</si>
  <si>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</si>
  <si>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</si>
  <si>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</si>
  <si>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</si>
  <si>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</si>
  <si>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</si>
  <si>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</si>
  <si>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</si>
  <si>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</si>
  <si>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</si>
  <si>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</si>
  <si>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</si>
  <si>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</si>
  <si>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</si>
  <si>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</si>
  <si>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</si>
  <si>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</si>
  <si>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</si>
  <si>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</si>
  <si>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</si>
  <si>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</si>
  <si>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</si>
  <si>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</si>
  <si>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</si>
  <si>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</si>
  <si>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</si>
  <si>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</si>
  <si>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</si>
  <si>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</si>
  <si>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</si>
  <si>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</si>
  <si>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</si>
  <si>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</si>
  <si>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</si>
  <si>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</si>
  <si>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</si>
  <si>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</si>
  <si>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</si>
  <si>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</si>
  <si>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</si>
  <si>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</si>
  <si>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</si>
  <si>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</si>
  <si>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</si>
  <si>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</si>
  <si>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</si>
  <si>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</si>
  <si>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</si>
  <si>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</si>
  <si>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</si>
  <si>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</si>
  <si>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</si>
  <si>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</si>
  <si>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</si>
  <si>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</si>
  <si>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</si>
  <si>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</si>
  <si>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</si>
  <si>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</si>
  <si>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</si>
  <si>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</si>
  <si>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</si>
  <si>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</si>
  <si>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</si>
  <si>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</si>
  <si>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</si>
  <si>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</si>
  <si>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</si>
  <si>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</si>
  <si>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</si>
  <si>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</si>
  <si>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</si>
  <si>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</si>
  <si>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</si>
  <si>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</si>
  <si>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</si>
  <si>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</si>
  <si>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</si>
  <si>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</si>
  <si>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</si>
  <si>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</si>
  <si>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</si>
  <si>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</si>
  <si>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</si>
  <si>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</si>
  <si>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</si>
  <si>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</si>
  <si>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</si>
  <si>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</si>
  <si>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</si>
  <si>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</si>
  <si>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</si>
  <si>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</si>
  <si>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</si>
  <si>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</si>
  <si>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</si>
  <si>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</si>
  <si>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</si>
  <si>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</si>
  <si>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</si>
  <si>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</si>
  <si>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</si>
  <si>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</si>
  <si>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</si>
  <si>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</si>
  <si>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</si>
  <si>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</si>
  <si>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</si>
  <si>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</si>
  <si>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</si>
  <si>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</si>
  <si>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</si>
  <si>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</si>
  <si>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</si>
  <si>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</si>
  <si>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</si>
  <si>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</si>
  <si>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</si>
  <si>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</si>
  <si>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</si>
  <si>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</si>
  <si>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</si>
  <si>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</si>
  <si>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</si>
  <si>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</si>
  <si>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</si>
  <si>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</si>
  <si>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</si>
  <si>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</si>
  <si>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</si>
  <si>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</si>
  <si>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</si>
  <si>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</si>
  <si>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</si>
  <si>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</si>
  <si>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</si>
  <si>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</si>
  <si>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</si>
  <si>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</si>
  <si>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</si>
  <si>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</si>
  <si>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</si>
  <si>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</si>
  <si>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</si>
  <si>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</si>
  <si>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</si>
  <si>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</si>
  <si>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</si>
  <si>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</si>
  <si>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</si>
  <si>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</si>
  <si>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</si>
  <si>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</si>
  <si>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</si>
  <si>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</si>
  <si>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</si>
  <si>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</si>
  <si>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</si>
  <si>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</si>
  <si>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</si>
  <si>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</si>
  <si>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</si>
  <si>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</si>
  <si>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</si>
  <si>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</si>
  <si>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</si>
  <si>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</si>
  <si>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</si>
  <si>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</si>
  <si>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</si>
  <si>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</si>
  <si>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</si>
  <si>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</si>
  <si>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</si>
  <si>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</si>
  <si>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</si>
  <si>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</si>
  <si>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</si>
  <si>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</si>
  <si>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</si>
  <si>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</si>
  <si>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</si>
  <si>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</si>
  <si>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</si>
  <si>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</si>
  <si>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</si>
  <si>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</si>
  <si>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</si>
  <si>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</si>
  <si>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</si>
  <si>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</si>
  <si>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</si>
  <si>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</si>
  <si>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</si>
  <si>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</si>
  <si>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</si>
  <si>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</si>
  <si>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</si>
  <si>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</si>
  <si>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</si>
  <si>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</si>
  <si>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</si>
  <si>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</si>
  <si>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</si>
  <si>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</si>
  <si>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</si>
  <si>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</si>
  <si>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</si>
  <si>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</si>
  <si>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</si>
  <si>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</si>
  <si>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</si>
  <si>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</si>
  <si>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</si>
  <si>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</si>
  <si>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</si>
  <si>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</si>
  <si>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</si>
  <si>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</si>
  <si>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</si>
  <si>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</si>
  <si>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</si>
  <si>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</si>
  <si>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</si>
  <si>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</si>
  <si>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</si>
  <si>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</si>
  <si>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</si>
  <si>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</si>
  <si>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</si>
  <si>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</si>
  <si>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</si>
  <si>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</si>
  <si>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</si>
  <si>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</si>
  <si>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</si>
  <si>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</si>
  <si>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</si>
  <si>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</si>
  <si>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</si>
  <si>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</si>
  <si>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</si>
  <si>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</si>
  <si>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</si>
  <si>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</si>
  <si>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</si>
  <si>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</si>
  <si>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</si>
  <si>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</si>
  <si>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</si>
  <si>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</si>
  <si>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</si>
  <si>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</si>
  <si>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</si>
  <si>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</si>
  <si>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</si>
  <si>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</si>
  <si>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</si>
  <si>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</si>
  <si>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</si>
  <si>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</si>
  <si>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</si>
  <si>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</si>
  <si>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</si>
  <si>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</si>
  <si>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</si>
  <si>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</si>
  <si>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</si>
  <si>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</si>
  <si>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</si>
  <si>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</si>
  <si>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</si>
  <si>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</si>
  <si>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</si>
  <si>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</si>
  <si>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</si>
  <si>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</si>
  <si>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</si>
  <si>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</si>
  <si>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</si>
  <si>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</si>
  <si>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</si>
  <si>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</si>
  <si>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</si>
  <si>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</si>
  <si>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</si>
  <si>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</si>
  <si>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</si>
  <si>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</si>
  <si>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</si>
  <si>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</si>
  <si>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</si>
  <si>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</si>
  <si>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</si>
  <si>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</si>
  <si>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</si>
  <si>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</si>
  <si>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</si>
  <si>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</si>
  <si>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</si>
  <si>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</si>
  <si>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</si>
  <si>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</si>
  <si>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</si>
  <si>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</si>
  <si>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</si>
  <si>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</si>
  <si>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</si>
  <si>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</si>
  <si>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</si>
  <si>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</si>
  <si>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</si>
  <si>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</si>
  <si>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</si>
  <si>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</si>
  <si>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</si>
  <si>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</si>
  <si>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</si>
  <si>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</si>
  <si>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</si>
  <si>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</si>
  <si>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</si>
  <si>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</si>
  <si>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</si>
  <si>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</si>
  <si>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</si>
  <si>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</si>
  <si>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</si>
  <si>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</si>
  <si>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</si>
  <si>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</si>
  <si>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</si>
  <si>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</si>
  <si>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</si>
  <si>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</si>
  <si>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</si>
  <si>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</si>
  <si>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</si>
  <si>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</si>
  <si>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</si>
  <si>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</si>
  <si>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</si>
  <si>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</si>
  <si>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</si>
  <si>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</si>
  <si>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</si>
  <si>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</si>
  <si>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</si>
  <si>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</si>
  <si>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</si>
  <si>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</si>
  <si>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</si>
  <si>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</si>
  <si>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</si>
  <si>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</si>
  <si>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</si>
  <si>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</si>
  <si>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</si>
  <si>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</si>
  <si>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</si>
  <si>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</si>
  <si>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</si>
  <si>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</si>
  <si>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</si>
  <si>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</si>
  <si>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</si>
  <si>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</si>
  <si>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</si>
  <si>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</si>
  <si>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</si>
  <si>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</si>
  <si>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</si>
  <si>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</si>
  <si>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</si>
  <si>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</si>
  <si>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</si>
  <si>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</si>
  <si>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</si>
  <si>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</si>
  <si>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</si>
  <si>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</si>
  <si>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</si>
  <si>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</si>
  <si>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</si>
  <si>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</si>
  <si>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</si>
  <si>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</si>
  <si>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</si>
  <si>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</si>
  <si>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</si>
  <si>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</si>
  <si>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</si>
  <si>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</si>
  <si>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</si>
  <si>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</si>
  <si>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</si>
  <si>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</si>
  <si>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</si>
  <si>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</si>
  <si>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</si>
  <si>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</si>
  <si>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</si>
  <si>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</si>
  <si>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</si>
  <si>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</si>
  <si>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</si>
  <si>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</si>
  <si>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</si>
  <si>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</si>
  <si>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</si>
  <si>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</si>
  <si>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</si>
  <si>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</si>
  <si>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</si>
  <si>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</si>
  <si>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</si>
  <si>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</si>
  <si>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</si>
  <si>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</si>
  <si>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</si>
  <si>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</si>
  <si>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</si>
  <si>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</si>
  <si>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</si>
  <si>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</si>
  <si>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</si>
  <si>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</si>
  <si>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</si>
  <si>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</si>
  <si>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</si>
  <si>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</si>
  <si>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</si>
  <si>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</si>
  <si>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</si>
  <si>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</si>
  <si>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</si>
  <si>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</si>
  <si>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</si>
  <si>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</si>
  <si>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</si>
  <si>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</si>
  <si>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</si>
  <si>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</si>
  <si>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</si>
  <si>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</si>
  <si>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</si>
  <si>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</si>
  <si>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</si>
  <si>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</si>
  <si>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</si>
  <si>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</si>
  <si>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</si>
  <si>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</si>
  <si>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</si>
  <si>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</si>
  <si>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</si>
  <si>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</si>
  <si>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</si>
  <si>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</si>
  <si>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</si>
  <si>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</si>
  <si>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</si>
  <si>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</si>
  <si>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</si>
  <si>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</si>
  <si>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</si>
  <si>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</si>
  <si>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</si>
  <si>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</si>
  <si>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</si>
  <si>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</si>
  <si>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</si>
  <si>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</si>
  <si>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</si>
  <si>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</si>
  <si>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</si>
  <si>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</si>
  <si>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</si>
  <si>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</si>
  <si>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</si>
  <si>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</si>
  <si>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</si>
  <si>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</si>
  <si>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</si>
  <si>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</si>
  <si>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</si>
  <si>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</si>
  <si>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</si>
  <si>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</si>
  <si>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</si>
  <si>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</si>
  <si>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</si>
  <si>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</si>
  <si>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</si>
  <si>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</si>
  <si>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</si>
  <si>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</si>
  <si>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</si>
  <si>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</si>
  <si>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</si>
  <si>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</si>
  <si>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</si>
  <si>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</si>
  <si>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</si>
  <si>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</si>
  <si>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</si>
  <si>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</si>
  <si>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</si>
  <si>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</si>
  <si>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</si>
  <si>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</si>
  <si>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</si>
  <si>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</si>
  <si>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</si>
  <si>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</si>
  <si>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</si>
  <si>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</si>
  <si>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</si>
  <si>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</si>
  <si>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</si>
  <si>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</si>
  <si>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</si>
  <si>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</si>
  <si>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</si>
  <si>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</si>
  <si>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</si>
  <si>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</si>
  <si>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</si>
  <si>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</si>
  <si>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</si>
  <si>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</si>
  <si>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</si>
  <si>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</si>
  <si>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</si>
  <si>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</si>
  <si>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</si>
  <si>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</si>
  <si>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</si>
  <si>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</si>
  <si>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</si>
  <si>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</si>
  <si>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</si>
  <si>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</si>
  <si>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</si>
  <si>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</si>
  <si>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</si>
  <si>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</si>
  <si>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</si>
  <si>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</si>
  <si>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</si>
  <si>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</si>
  <si>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</si>
  <si>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</si>
  <si>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</si>
  <si>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</si>
  <si>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</si>
  <si>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</si>
  <si>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</si>
  <si>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</si>
  <si>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</si>
  <si>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</si>
  <si>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</si>
  <si>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</si>
  <si>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</si>
  <si>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</si>
  <si>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</si>
  <si>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</si>
  <si>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</si>
  <si>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</si>
  <si>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</si>
  <si>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</si>
  <si>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</si>
  <si>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</si>
  <si>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</si>
  <si>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</si>
  <si>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</si>
  <si>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</si>
  <si>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</si>
  <si>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</si>
  <si>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</si>
  <si>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</si>
  <si>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</si>
  <si>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</si>
  <si>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</si>
  <si>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</si>
  <si>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</si>
  <si>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</si>
  <si>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</si>
  <si>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</si>
  <si>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</si>
  <si>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</si>
  <si>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</si>
  <si>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</si>
  <si>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</si>
  <si>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</si>
  <si>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</si>
  <si>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</si>
  <si>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</si>
  <si>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</si>
  <si>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</si>
  <si>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</si>
  <si>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</si>
  <si>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</si>
  <si>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</si>
  <si>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</si>
  <si>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</si>
  <si>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</si>
  <si>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</si>
  <si>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</si>
  <si>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</si>
  <si>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</si>
  <si>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</si>
  <si>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</si>
  <si>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</si>
  <si>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</si>
  <si>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</si>
  <si>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</si>
  <si>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</si>
  <si>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</si>
  <si>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</si>
  <si>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</si>
  <si>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</si>
  <si>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</si>
  <si>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</si>
  <si>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</si>
  <si>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</si>
  <si>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</si>
  <si>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</si>
  <si>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</si>
  <si>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</si>
  <si>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</si>
  <si>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</si>
  <si>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</si>
  <si>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</si>
  <si>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</si>
  <si>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</si>
  <si>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</si>
  <si>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</si>
  <si>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</si>
  <si>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</si>
  <si>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</si>
  <si>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</si>
  <si>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</si>
  <si>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</si>
  <si>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</si>
  <si>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</si>
  <si>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</si>
  <si>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</si>
  <si>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</si>
  <si>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</si>
  <si>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</si>
  <si>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</si>
  <si>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</si>
  <si>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</si>
  <si>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</si>
  <si>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</si>
  <si>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</si>
  <si>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</si>
  <si>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</si>
  <si>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</si>
  <si>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</si>
  <si>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</si>
  <si>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</si>
  <si>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</si>
  <si>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</si>
  <si>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</si>
  <si>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</si>
  <si>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</si>
  <si>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</si>
  <si>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</si>
  <si>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</si>
  <si>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</si>
  <si>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</si>
  <si>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</si>
  <si>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</si>
  <si>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</si>
  <si>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</si>
  <si>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</si>
  <si>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</si>
  <si>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</si>
  <si>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</si>
  <si>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</si>
  <si>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</si>
  <si>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</si>
  <si>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</si>
  <si>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</si>
  <si>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</si>
  <si>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</si>
  <si>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</si>
  <si>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</si>
  <si>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</si>
  <si>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</si>
  <si>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</si>
  <si>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</si>
  <si>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</si>
  <si>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</si>
  <si>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</si>
  <si>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</si>
  <si>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</si>
  <si>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</si>
  <si>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</si>
  <si>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</si>
  <si>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</si>
  <si>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</si>
  <si>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</si>
  <si>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</si>
  <si>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</si>
  <si>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</si>
  <si>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</si>
  <si>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</si>
  <si>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</si>
  <si>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</si>
  <si>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</si>
  <si>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</si>
  <si>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</si>
  <si>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</si>
  <si>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</si>
  <si>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</si>
  <si>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</si>
  <si>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</si>
  <si>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</si>
  <si>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</si>
  <si>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</si>
  <si>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</si>
  <si>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</si>
  <si>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</si>
  <si>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</si>
  <si>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</si>
  <si>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</si>
  <si>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</si>
  <si>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</si>
  <si>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</si>
  <si>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</si>
  <si>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</si>
  <si>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</si>
  <si>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</si>
  <si>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</si>
  <si>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</si>
  <si>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</si>
  <si>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</si>
  <si>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</si>
  <si>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</si>
  <si>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</si>
  <si>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</si>
  <si>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</si>
  <si>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</si>
  <si>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</si>
  <si>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</si>
  <si>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</si>
  <si>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</si>
  <si>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</si>
  <si>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</si>
  <si>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</si>
  <si>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</si>
  <si>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</si>
  <si>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</si>
  <si>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</si>
  <si>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</si>
  <si>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</si>
  <si>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</si>
  <si>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</si>
  <si>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</si>
  <si>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</si>
  <si>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</si>
  <si>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</si>
  <si>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</si>
  <si>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</si>
  <si>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</si>
  <si>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</si>
  <si>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</si>
  <si>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</si>
  <si>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</si>
  <si>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</si>
  <si>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</si>
  <si>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</si>
  <si>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</si>
  <si>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</si>
  <si>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</si>
  <si>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</si>
  <si>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</si>
  <si>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</si>
  <si>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</si>
  <si>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</si>
  <si>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</si>
  <si>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</si>
  <si>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</si>
  <si>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</si>
  <si>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</si>
  <si>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</si>
  <si>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</si>
  <si>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</si>
  <si>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</si>
  <si>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</si>
  <si>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</si>
  <si>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</si>
  <si>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</si>
  <si>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</si>
  <si>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</si>
  <si>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</si>
  <si>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</si>
  <si>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</si>
  <si>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</si>
  <si>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</si>
  <si>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</si>
  <si>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</si>
  <si>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</si>
  <si>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</si>
  <si>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</si>
  <si>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</si>
  <si>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</si>
  <si>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</si>
  <si>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</si>
  <si>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</si>
  <si>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</si>
  <si>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</si>
  <si>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</si>
  <si>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</si>
  <si>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</si>
  <si>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</si>
  <si>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</si>
  <si>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</si>
  <si>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</si>
  <si>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</si>
  <si>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</si>
  <si>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</si>
  <si>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</si>
  <si>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</si>
  <si>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</si>
  <si>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</si>
  <si>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</si>
  <si>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</si>
  <si>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</si>
  <si>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</si>
  <si>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</si>
  <si>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</si>
  <si>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</si>
  <si>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</si>
  <si>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</si>
  <si>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</si>
  <si>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</si>
  <si>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</si>
  <si>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</si>
  <si>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</si>
  <si>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</si>
  <si>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</si>
  <si>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</si>
  <si>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</si>
  <si>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</si>
  <si>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</si>
  <si>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</si>
  <si>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</si>
  <si>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</si>
  <si>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</si>
  <si>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</si>
  <si>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</si>
  <si>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</si>
  <si>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</si>
  <si>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</si>
  <si>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</si>
  <si>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</si>
  <si>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</si>
  <si>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</si>
  <si>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</si>
  <si>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</si>
  <si>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</si>
  <si>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</si>
  <si>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</si>
  <si>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</si>
  <si>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</si>
  <si>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</si>
  <si>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</si>
  <si>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</si>
  <si>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</si>
  <si>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</si>
  <si>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</si>
  <si>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</si>
  <si>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</si>
  <si>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</si>
  <si>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</si>
  <si>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</si>
  <si>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</si>
  <si>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</si>
  <si>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</si>
  <si>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</si>
  <si>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</si>
  <si>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</si>
  <si>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</si>
  <si>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</si>
  <si>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</si>
  <si>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</si>
  <si>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</si>
  <si>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</si>
  <si>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</si>
  <si>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</si>
  <si>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</si>
  <si>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</si>
  <si>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</si>
  <si>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</si>
  <si>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</si>
  <si>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</si>
  <si>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</si>
  <si>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</si>
  <si>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</si>
  <si>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</si>
  <si>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</si>
  <si>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</si>
  <si>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</si>
  <si>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</si>
  <si>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</si>
  <si>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</si>
  <si>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</si>
  <si>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</si>
  <si>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</si>
  <si>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</si>
  <si>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</si>
  <si>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</si>
  <si>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</si>
  <si>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</si>
  <si>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</si>
  <si>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</si>
  <si>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</si>
  <si>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</si>
  <si>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</si>
  <si>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</si>
  <si>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</si>
  <si>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</si>
  <si>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</si>
  <si>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</si>
  <si>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</si>
  <si>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</si>
  <si>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</si>
  <si>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</si>
  <si>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</si>
  <si>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</si>
  <si>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</si>
  <si>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</si>
  <si>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</si>
  <si>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</si>
  <si>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</si>
  <si>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</si>
  <si>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</si>
  <si>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</si>
  <si>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</si>
  <si>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</si>
  <si>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</si>
  <si>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</si>
  <si>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</si>
  <si>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</si>
  <si>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</si>
  <si>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</si>
  <si>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</si>
  <si>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</si>
  <si>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</si>
  <si>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</si>
  <si>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</si>
  <si>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</si>
  <si>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</si>
  <si>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</si>
  <si>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</si>
  <si>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</si>
  <si>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</si>
  <si>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</si>
  <si>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</si>
  <si>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</si>
  <si>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</si>
  <si>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</si>
  <si>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</si>
  <si>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</si>
  <si>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</si>
  <si>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</si>
  <si>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</si>
  <si>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</si>
  <si>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</si>
  <si>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</si>
  <si>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</si>
  <si>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</si>
  <si>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</si>
  <si>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</si>
  <si>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</si>
  <si>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</si>
  <si>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</si>
  <si>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</si>
  <si>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</si>
  <si>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</si>
  <si>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</si>
  <si>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</si>
  <si>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</si>
  <si>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</si>
  <si>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</si>
  <si>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</si>
  <si>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</si>
  <si>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</si>
  <si>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</si>
  <si>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</si>
  <si>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</si>
  <si>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</si>
  <si>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</si>
  <si>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</si>
  <si>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</si>
  <si>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</si>
  <si>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</si>
  <si>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</si>
  <si>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</si>
  <si>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</si>
  <si>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</si>
  <si>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</si>
  <si>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</si>
  <si>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</si>
  <si>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</si>
  <si>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</si>
  <si>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</si>
  <si>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</si>
  <si>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</si>
  <si>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</si>
  <si>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</si>
  <si>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</si>
  <si>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</si>
  <si>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</si>
  <si>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</si>
  <si>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</si>
  <si>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</si>
  <si>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</si>
  <si>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</si>
  <si>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</si>
  <si>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</si>
  <si>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</si>
  <si>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</si>
  <si>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</si>
  <si>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</si>
  <si>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</si>
  <si>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</si>
  <si>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</si>
  <si>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</si>
  <si>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</si>
  <si>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</si>
  <si>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</si>
  <si>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</si>
  <si>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</si>
  <si>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</si>
  <si>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</si>
  <si>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</si>
  <si>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</si>
  <si>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</si>
  <si>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</si>
  <si>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</si>
  <si>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</si>
  <si>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</si>
  <si>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</si>
  <si>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</si>
  <si>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</si>
  <si>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</si>
  <si>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</si>
  <si>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</si>
  <si>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</si>
  <si>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</si>
  <si>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</si>
  <si>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</si>
  <si>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</si>
  <si>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</si>
  <si>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</si>
  <si>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</si>
  <si>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</si>
  <si>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</si>
  <si>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</si>
  <si>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</si>
  <si>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</si>
  <si>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</si>
  <si>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</si>
  <si>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</si>
  <si>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</si>
  <si>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</si>
  <si>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</si>
  <si>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</si>
  <si>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</si>
  <si>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</si>
  <si>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</si>
  <si>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</si>
  <si>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</si>
  <si>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</si>
  <si>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</si>
  <si>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</si>
  <si>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</si>
  <si>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</si>
  <si>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</si>
  <si>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</si>
  <si>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</si>
  <si>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</si>
  <si>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</si>
  <si>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</si>
  <si>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</si>
  <si>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</si>
  <si>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</si>
  <si>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</si>
  <si>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</si>
  <si>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</si>
  <si>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</si>
  <si>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</si>
  <si>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</si>
  <si>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</si>
  <si>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</si>
  <si>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</si>
  <si>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</si>
  <si>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</si>
  <si>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</si>
  <si>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</si>
  <si>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</si>
  <si>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</si>
  <si>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</si>
  <si>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</si>
  <si>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</si>
  <si>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</si>
  <si>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</si>
  <si>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</si>
  <si>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</si>
  <si>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</si>
  <si>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</si>
  <si>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</si>
  <si>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</si>
  <si>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</si>
  <si>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</si>
  <si>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</si>
  <si>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</si>
  <si>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</si>
  <si>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</si>
  <si>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</si>
  <si>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</si>
  <si>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</si>
  <si>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</si>
  <si>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</si>
  <si>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</si>
  <si>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</si>
  <si>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</si>
  <si>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</si>
  <si>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</si>
  <si>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</si>
  <si>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</si>
  <si>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</si>
  <si>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</si>
  <si>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</si>
  <si>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</si>
  <si>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</si>
  <si>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</si>
  <si>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</si>
  <si>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</si>
  <si>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</si>
  <si>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</si>
  <si>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</si>
  <si>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</si>
  <si>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</si>
  <si>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</si>
  <si>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</si>
  <si>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</si>
  <si>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</si>
  <si>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</si>
  <si>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</si>
  <si>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</si>
  <si>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</si>
  <si>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</si>
  <si>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</si>
  <si>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</si>
  <si>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</si>
  <si>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</si>
  <si>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</si>
  <si>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</si>
  <si>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</si>
  <si>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</si>
  <si>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</si>
  <si>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</si>
  <si>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</si>
  <si>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</si>
  <si>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</si>
  <si>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</si>
  <si>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</si>
  <si>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</si>
  <si>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</si>
  <si>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</si>
  <si>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</si>
  <si>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</si>
  <si>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</si>
  <si>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</si>
  <si>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</si>
  <si>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</si>
  <si>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</si>
  <si>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</si>
  <si>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</si>
  <si>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</si>
  <si>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</si>
  <si>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</si>
  <si>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</si>
  <si>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</si>
  <si>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</si>
  <si>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</si>
  <si>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</si>
  <si>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</si>
  <si>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</si>
  <si>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</si>
  <si>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</si>
  <si>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</si>
  <si>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</si>
  <si>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</si>
  <si>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</si>
  <si>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</si>
  <si>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</si>
  <si>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</si>
  <si>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</si>
  <si>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</si>
  <si>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</si>
  <si>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</si>
  <si>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</si>
  <si>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</si>
  <si>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</si>
  <si>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</si>
  <si>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</si>
  <si>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</si>
  <si>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</si>
  <si>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</si>
  <si>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</si>
  <si>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</si>
  <si>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</si>
  <si>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</si>
  <si>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</si>
  <si>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</si>
  <si>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</si>
  <si>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</si>
  <si>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</si>
  <si>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</si>
  <si>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</si>
  <si>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</si>
  <si>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</si>
  <si>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</si>
  <si>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</si>
  <si>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</si>
  <si>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</si>
  <si>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</si>
  <si>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</si>
  <si>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</si>
  <si>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</si>
  <si>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</si>
  <si>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</si>
  <si>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</si>
  <si>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</si>
  <si>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</si>
  <si>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</si>
  <si>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</si>
  <si>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</si>
  <si>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</si>
  <si>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</si>
  <si>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</si>
  <si>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</si>
  <si>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</si>
  <si>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</si>
  <si>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</si>
  <si>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</si>
  <si>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</si>
  <si>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</si>
  <si>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</si>
  <si>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</si>
  <si>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</si>
  <si>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</si>
  <si>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</si>
  <si>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</si>
  <si>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</si>
  <si>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</si>
  <si>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</si>
  <si>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</si>
  <si>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</si>
  <si>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</si>
  <si>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</si>
  <si>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</si>
  <si>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</si>
  <si>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</si>
  <si>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</si>
  <si>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</si>
  <si>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</si>
  <si>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</si>
  <si>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</si>
  <si>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</si>
  <si>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</si>
  <si>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</si>
  <si>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</si>
  <si>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</si>
  <si>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</si>
  <si>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</si>
  <si>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</si>
  <si>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</si>
  <si>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</si>
  <si>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</si>
  <si>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</si>
  <si>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</si>
  <si>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</si>
  <si>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</si>
  <si>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</si>
  <si>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</si>
  <si>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</si>
  <si>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</si>
  <si>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</si>
  <si>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</si>
  <si>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</si>
  <si>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</si>
  <si>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</si>
  <si>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</si>
  <si>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</si>
  <si>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</si>
  <si>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</si>
  <si>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</si>
  <si>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</si>
  <si>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</si>
  <si>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</si>
  <si>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</si>
  <si>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</si>
  <si>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</si>
  <si>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</si>
  <si>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</si>
  <si>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</si>
  <si>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</si>
  <si>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</si>
  <si>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</si>
  <si>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</si>
  <si>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</si>
  <si>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</si>
  <si>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</si>
  <si>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</si>
  <si>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</si>
  <si>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</si>
  <si>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</si>
  <si>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</si>
  <si>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</si>
  <si>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</si>
  <si>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</si>
  <si>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</si>
  <si>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</si>
  <si>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</si>
  <si>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</si>
  <si>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</si>
  <si>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</si>
  <si>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</si>
  <si>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</si>
  <si>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</si>
  <si>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</si>
  <si>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</si>
  <si>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</si>
  <si>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</si>
  <si>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</si>
  <si>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</si>
  <si>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</si>
  <si>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</si>
  <si>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</si>
  <si>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</si>
  <si>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</si>
  <si>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</si>
  <si>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</si>
  <si>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</si>
  <si>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</si>
  <si>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</si>
  <si>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</si>
  <si>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</si>
  <si>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</si>
  <si>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</si>
  <si>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</si>
  <si>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</si>
  <si>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</si>
  <si>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</si>
  <si>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</si>
  <si>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</si>
  <si>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</si>
  <si>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</si>
  <si>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</si>
  <si>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</si>
  <si>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</si>
  <si>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</si>
  <si>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</si>
  <si>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</si>
  <si>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</si>
  <si>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</si>
  <si>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</si>
  <si>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</si>
  <si>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</si>
  <si>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</si>
  <si>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</si>
  <si>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</si>
  <si>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</si>
  <si>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</si>
  <si>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</si>
  <si>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</si>
  <si>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</si>
  <si>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</si>
  <si>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</si>
  <si>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</si>
  <si>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</si>
  <si>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</si>
  <si>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</si>
  <si>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</si>
  <si>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</si>
  <si>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</si>
  <si>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</si>
  <si>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</si>
  <si>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</si>
  <si>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</si>
  <si>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</si>
  <si>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</si>
  <si>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</si>
  <si>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</si>
  <si>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</si>
  <si>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</si>
  <si>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</si>
  <si>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</si>
  <si>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</si>
  <si>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</si>
  <si>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</si>
  <si>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</si>
  <si>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</si>
  <si>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</si>
  <si>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</si>
  <si>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</si>
  <si>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</si>
  <si>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</si>
  <si>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</si>
  <si>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</si>
  <si>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</si>
  <si>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</si>
  <si>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</si>
  <si>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</si>
  <si>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</si>
  <si>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</si>
  <si>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</si>
  <si>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</si>
  <si>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</si>
  <si>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</si>
  <si>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</si>
  <si>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</si>
  <si>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</si>
  <si>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</si>
  <si>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</si>
  <si>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</si>
  <si>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</si>
  <si>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</si>
  <si>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</si>
  <si>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</si>
  <si>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</si>
  <si>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</si>
  <si>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</si>
  <si>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</si>
  <si>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</si>
  <si>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</si>
  <si>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</si>
  <si>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</si>
  <si>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</si>
  <si>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</si>
  <si>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</si>
  <si>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</si>
  <si>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</si>
  <si>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</si>
  <si>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</si>
  <si>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</si>
  <si>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</si>
  <si>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</si>
  <si>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</si>
  <si>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</si>
  <si>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</si>
  <si>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</si>
  <si>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</si>
  <si>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</si>
  <si>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</si>
  <si>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</si>
  <si>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</si>
  <si>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</si>
  <si>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</si>
  <si>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</si>
  <si>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</si>
  <si>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</si>
  <si>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</si>
  <si>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</si>
  <si>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</si>
  <si>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</si>
  <si>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</si>
  <si>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</si>
  <si>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</si>
  <si>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</si>
  <si>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</si>
  <si>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</si>
  <si>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</si>
  <si>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</si>
  <si>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</si>
  <si>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</si>
  <si>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</si>
  <si>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</si>
  <si>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</si>
  <si>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</si>
  <si>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</si>
  <si>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</si>
  <si>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</si>
  <si>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</si>
  <si>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</si>
  <si>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</si>
  <si>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</si>
  <si>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</si>
  <si>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</si>
  <si>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</si>
  <si>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</si>
  <si>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</si>
  <si>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</si>
  <si>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</si>
  <si>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</si>
  <si>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</si>
  <si>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</si>
  <si>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</si>
  <si>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</si>
  <si>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</si>
  <si>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</si>
  <si>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</si>
  <si>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</si>
  <si>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</si>
  <si>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</si>
  <si>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</si>
  <si>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</si>
  <si>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</si>
  <si>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</si>
  <si>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</si>
  <si>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</si>
  <si>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</si>
  <si>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</si>
  <si>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</si>
  <si>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</si>
  <si>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</si>
  <si>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</si>
  <si>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</si>
  <si>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</si>
  <si>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</si>
  <si>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</si>
  <si>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</si>
  <si>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</si>
  <si>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</si>
  <si>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</si>
  <si>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</si>
  <si>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</si>
  <si>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</si>
  <si>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</si>
  <si>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</si>
  <si>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</si>
  <si>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</si>
  <si>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</si>
  <si>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</si>
  <si>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</si>
  <si>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</si>
  <si>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</si>
  <si>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</si>
  <si>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</si>
  <si>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</si>
  <si>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</si>
  <si>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</si>
  <si>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</si>
  <si>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</si>
  <si>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</si>
  <si>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</si>
  <si>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</si>
  <si>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</si>
  <si>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</si>
  <si>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</si>
  <si>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</si>
  <si>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</si>
  <si>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</si>
  <si>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</si>
  <si>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</si>
  <si>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</si>
  <si>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</si>
  <si>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</si>
  <si>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</si>
  <si>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</si>
  <si>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</si>
  <si>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</si>
  <si>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</si>
  <si>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</si>
  <si>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</si>
  <si>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</si>
  <si>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</si>
  <si>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</si>
  <si>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</si>
  <si>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</si>
  <si>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</si>
  <si>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</si>
  <si>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</si>
  <si>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</si>
  <si>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</si>
  <si>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</si>
  <si>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</si>
  <si>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</si>
  <si>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</si>
  <si>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</si>
  <si>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</si>
  <si>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</si>
  <si>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</si>
  <si>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</si>
  <si>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</si>
  <si>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</si>
  <si>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</si>
  <si>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</si>
  <si>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</si>
  <si>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</si>
  <si>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</si>
  <si>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</si>
  <si>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</si>
  <si>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</si>
  <si>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</si>
  <si>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</si>
  <si>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</si>
  <si>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</si>
  <si>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</si>
  <si>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</si>
  <si>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</si>
  <si>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</si>
  <si>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</si>
  <si>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</si>
  <si>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</si>
  <si>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</si>
  <si>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</si>
  <si>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</si>
  <si>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</si>
  <si>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</si>
  <si>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</si>
  <si>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</si>
  <si>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</si>
  <si>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</si>
  <si>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</si>
  <si>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</si>
  <si>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</si>
  <si>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</si>
  <si>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</si>
  <si>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</si>
  <si>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</si>
  <si>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</si>
  <si>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</si>
  <si>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</si>
  <si>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</si>
  <si>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</si>
  <si>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</si>
  <si>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</si>
  <si>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</si>
  <si>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</si>
  <si>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</si>
  <si>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</si>
  <si>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</si>
  <si>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</si>
  <si>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</si>
  <si>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</si>
  <si>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</si>
  <si>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</si>
  <si>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</si>
  <si>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</si>
  <si>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</si>
  <si>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</si>
  <si>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</si>
  <si>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</si>
  <si>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</si>
  <si>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</si>
  <si>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</si>
  <si>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</si>
  <si>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</si>
  <si>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</si>
  <si>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</si>
  <si>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</si>
  <si>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</si>
  <si>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</si>
  <si>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</si>
  <si>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</si>
  <si>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</si>
  <si>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</si>
  <si>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</si>
  <si>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</si>
  <si>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</si>
  <si>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</si>
  <si>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</si>
  <si>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</si>
  <si>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</si>
  <si>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</si>
  <si>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</si>
  <si>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</si>
  <si>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</si>
  <si>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</si>
  <si>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</si>
  <si>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</si>
  <si>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</si>
  <si>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</si>
  <si>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</si>
  <si>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</si>
  <si>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</si>
  <si>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</si>
  <si>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</si>
  <si>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</si>
  <si>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</si>
  <si>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</si>
  <si>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</si>
  <si>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</si>
  <si>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</si>
  <si>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</si>
  <si>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</si>
  <si>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</si>
  <si>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</si>
  <si>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</si>
  <si>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</si>
  <si>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</si>
  <si>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</si>
  <si>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</si>
  <si>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</si>
  <si>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</si>
  <si>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</si>
  <si>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</si>
  <si>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</si>
  <si>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</si>
  <si>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</si>
  <si>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</si>
  <si>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</si>
  <si>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</si>
  <si>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</si>
  <si>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</si>
  <si>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</si>
  <si>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</si>
  <si>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</si>
  <si>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</si>
  <si>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</si>
  <si>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</si>
  <si>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</si>
  <si>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</si>
  <si>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</si>
  <si>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</si>
  <si>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</si>
  <si>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</si>
  <si>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</si>
  <si>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</si>
  <si>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</si>
  <si>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</si>
  <si>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</si>
  <si>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</si>
  <si>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</si>
  <si>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</si>
  <si>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</si>
  <si>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</si>
  <si>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</si>
  <si>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</si>
  <si>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</si>
  <si>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</si>
  <si>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</si>
  <si>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</si>
  <si>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</si>
  <si>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</si>
  <si>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</si>
  <si>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</si>
  <si>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</si>
  <si>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</si>
  <si>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</si>
  <si>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</si>
  <si>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</si>
  <si>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</si>
  <si>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</si>
  <si>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</si>
  <si>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</si>
  <si>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</si>
  <si>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</si>
  <si>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</si>
  <si>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</si>
  <si>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</si>
  <si>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</si>
  <si>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</si>
  <si>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</si>
  <si>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</si>
  <si>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</si>
  <si>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</si>
  <si>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</si>
  <si>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</si>
  <si>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</si>
  <si>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</si>
  <si>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</si>
  <si>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</si>
  <si>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</si>
  <si>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</si>
  <si>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</si>
  <si>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</si>
  <si>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</si>
  <si>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</si>
  <si>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</si>
  <si>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</si>
  <si>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</si>
  <si>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</si>
  <si>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</si>
  <si>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</si>
  <si>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</si>
  <si>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</si>
  <si>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</si>
  <si>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</si>
  <si>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</si>
  <si>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</si>
  <si>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</si>
  <si>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</si>
  <si>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</si>
  <si>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</si>
  <si>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</si>
  <si>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</si>
  <si>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</si>
  <si>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</si>
  <si>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</si>
  <si>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</si>
  <si>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</si>
  <si>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</si>
  <si>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</si>
  <si>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</si>
  <si>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</si>
  <si>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</si>
  <si>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</si>
  <si>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</si>
  <si>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</si>
  <si>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</si>
  <si>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</si>
  <si>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</si>
  <si>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</si>
  <si>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</si>
  <si>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</si>
  <si>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</si>
  <si>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</si>
  <si>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</si>
  <si>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</si>
  <si>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</si>
  <si>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</si>
  <si>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</si>
  <si>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</si>
  <si>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</si>
  <si>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</si>
  <si>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</si>
  <si>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</si>
  <si>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</si>
  <si>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</si>
  <si>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</si>
  <si>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</si>
  <si>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</si>
  <si>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</si>
  <si>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</si>
  <si>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</si>
  <si>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</si>
  <si>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</si>
  <si>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</si>
  <si>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</si>
  <si>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</si>
  <si>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</si>
  <si>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</si>
  <si>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</si>
  <si>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</si>
  <si>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</si>
  <si>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</si>
  <si>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</si>
  <si>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</si>
  <si>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</si>
  <si>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</si>
  <si>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</si>
  <si>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</si>
  <si>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</si>
  <si>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</si>
  <si>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</si>
  <si>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</si>
  <si>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</si>
  <si>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</si>
  <si>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</si>
  <si>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</si>
  <si>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</si>
  <si>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</si>
  <si>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</si>
  <si>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</si>
  <si>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</si>
  <si>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</si>
  <si>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</si>
  <si>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</si>
  <si>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</si>
  <si>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</si>
  <si>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</si>
  <si>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</si>
  <si>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</si>
  <si>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</si>
  <si>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</si>
  <si>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</si>
  <si>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</si>
  <si>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</si>
  <si>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</si>
  <si>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</si>
  <si>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</si>
  <si>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</si>
  <si>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</si>
  <si>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</si>
  <si>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</si>
  <si>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</si>
  <si>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</si>
  <si>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</si>
  <si>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</si>
  <si>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</si>
  <si>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</si>
  <si>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</si>
  <si>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</si>
  <si>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</si>
  <si>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</si>
  <si>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</si>
  <si>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</si>
  <si>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</si>
  <si>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</si>
  <si>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</si>
  <si>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</si>
  <si>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</si>
  <si>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</si>
  <si>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</si>
  <si>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</si>
  <si>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</si>
  <si>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</si>
  <si>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</si>
  <si>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</si>
  <si>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</si>
  <si>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</si>
  <si>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</si>
  <si>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</si>
  <si>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</si>
  <si>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</si>
  <si>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</si>
  <si>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</si>
  <si>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</si>
  <si>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</si>
  <si>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</si>
  <si>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</si>
  <si>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</si>
  <si>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</si>
  <si>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</si>
  <si>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</si>
  <si>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</si>
  <si>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</si>
  <si>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</si>
  <si>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</si>
  <si>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</si>
  <si>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</si>
  <si>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</si>
  <si>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</si>
  <si>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</si>
  <si>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</si>
  <si>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</si>
  <si>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</si>
  <si>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</si>
  <si>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</si>
  <si>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</si>
  <si>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</si>
  <si>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</si>
  <si>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</si>
  <si>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</si>
  <si>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</si>
  <si>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</si>
  <si>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</si>
  <si>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</si>
  <si>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</si>
  <si>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</si>
  <si>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</si>
  <si>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</si>
  <si>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</si>
  <si>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</si>
  <si>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</si>
  <si>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</si>
  <si>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</si>
  <si>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</si>
  <si>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</si>
  <si>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</si>
  <si>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</si>
  <si>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</si>
  <si>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</si>
  <si>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</si>
  <si>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</si>
  <si>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</si>
  <si>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</si>
  <si>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</si>
  <si>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</si>
  <si>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</si>
  <si>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</si>
  <si>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</si>
  <si>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</si>
  <si>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</si>
  <si>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</si>
  <si>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</si>
  <si>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</si>
  <si>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</si>
  <si>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</si>
  <si>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</si>
  <si>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</si>
  <si>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</si>
  <si>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</si>
  <si>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</si>
  <si>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</si>
  <si>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</si>
  <si>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</si>
  <si>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</si>
  <si>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</si>
  <si>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</si>
  <si>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</si>
  <si>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</si>
  <si>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</si>
  <si>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</si>
  <si>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</si>
  <si>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</si>
  <si>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</si>
  <si>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</si>
  <si>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</si>
  <si>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</si>
  <si>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</si>
  <si>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</si>
  <si>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</si>
  <si>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</si>
  <si>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</si>
  <si>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</si>
  <si>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</si>
  <si>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</si>
  <si>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</si>
  <si>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</si>
  <si>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</si>
  <si>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</si>
  <si>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</si>
  <si>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</si>
  <si>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</si>
  <si>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</si>
  <si>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</si>
  <si>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</si>
  <si>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</si>
  <si>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</si>
  <si>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</si>
  <si>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</si>
  <si>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</si>
  <si>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</si>
  <si>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</si>
  <si>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</si>
  <si>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</si>
  <si>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</si>
  <si>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</si>
  <si>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</si>
  <si>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</si>
  <si>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</si>
  <si>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</si>
  <si>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</si>
  <si>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</si>
  <si>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</si>
  <si>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</si>
  <si>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</si>
  <si>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</si>
  <si>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</si>
  <si>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</si>
  <si>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</si>
  <si>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</si>
  <si>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</si>
  <si>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</si>
  <si>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</si>
  <si>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</si>
  <si>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</si>
  <si>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</si>
  <si>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</si>
  <si>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</si>
  <si>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</si>
  <si>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</si>
  <si>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</si>
  <si>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</si>
  <si>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</si>
  <si>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</si>
  <si>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</si>
  <si>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</si>
  <si>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</si>
  <si>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</si>
  <si>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</si>
  <si>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</si>
  <si>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</si>
  <si>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</si>
  <si>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</si>
  <si>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</si>
  <si>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</si>
  <si>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</si>
  <si>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</si>
  <si>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</si>
  <si>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</si>
  <si>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</si>
  <si>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</si>
  <si>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</si>
  <si>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</si>
  <si>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</si>
  <si>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</si>
  <si>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</si>
  <si>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</si>
  <si>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</si>
  <si>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</si>
  <si>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</si>
  <si>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</si>
  <si>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</si>
  <si>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</si>
  <si>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</si>
  <si>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</si>
  <si>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</si>
  <si>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</si>
  <si>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</si>
  <si>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</si>
  <si>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</si>
  <si>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</si>
  <si>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</si>
  <si>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</si>
  <si>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</si>
  <si>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</si>
  <si>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</si>
  <si>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</si>
  <si>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</si>
  <si>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</si>
  <si>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</si>
  <si>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</si>
  <si>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</si>
  <si>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</si>
  <si>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</si>
  <si>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</si>
  <si>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</si>
  <si>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</si>
  <si>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</si>
  <si>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</si>
  <si>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</si>
  <si>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</si>
  <si>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</si>
  <si>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</si>
  <si>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</si>
  <si>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</si>
  <si>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</si>
  <si>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</si>
  <si>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</si>
  <si>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</si>
  <si>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</si>
  <si>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</si>
  <si>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</si>
  <si>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</si>
  <si>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</si>
  <si>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</si>
  <si>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</si>
  <si>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</si>
  <si>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</si>
  <si>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</si>
  <si>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</si>
  <si>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</si>
  <si>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</si>
  <si>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</si>
  <si>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</si>
  <si>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</si>
  <si>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</si>
  <si>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</si>
  <si>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</si>
  <si>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</si>
  <si>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</si>
  <si>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</si>
  <si>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</si>
  <si>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</si>
  <si>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</si>
  <si>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</si>
  <si>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</si>
  <si>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</si>
  <si>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</si>
  <si>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</si>
  <si>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</si>
  <si>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</si>
  <si>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</si>
  <si>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</si>
  <si>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</si>
  <si>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</si>
  <si>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</si>
  <si>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</si>
  <si>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</si>
  <si>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</si>
  <si>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</si>
  <si>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</si>
  <si>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</si>
  <si>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</si>
  <si>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</si>
  <si>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</si>
  <si>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</si>
  <si>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</si>
  <si>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</si>
  <si>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</si>
  <si>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</si>
  <si>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</si>
  <si>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</si>
  <si>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</si>
  <si>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</si>
  <si>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</si>
  <si>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</si>
  <si>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</si>
  <si>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</si>
  <si>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</si>
  <si>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</si>
  <si>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</si>
  <si>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</si>
  <si>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</si>
  <si>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</si>
  <si>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</si>
  <si>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</si>
  <si>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</si>
  <si>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</si>
  <si>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</si>
  <si>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</si>
  <si>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</si>
  <si>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</si>
  <si>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</si>
  <si>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</si>
  <si>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</si>
  <si>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</si>
  <si>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</si>
  <si>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</si>
  <si>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</si>
  <si>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</si>
  <si>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</si>
  <si>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</si>
  <si>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</si>
  <si>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</si>
  <si>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</si>
  <si>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</si>
  <si>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</si>
  <si>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</si>
  <si>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</si>
  <si>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</si>
  <si>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</si>
  <si>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</si>
  <si>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</si>
  <si>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</si>
  <si>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</si>
  <si>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</si>
  <si>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</si>
  <si>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</si>
  <si>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</si>
  <si>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</si>
  <si>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</si>
  <si>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</si>
  <si>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</si>
  <si>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</si>
  <si>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</si>
  <si>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</si>
  <si>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</si>
  <si>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</si>
  <si>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</si>
  <si>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</si>
  <si>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</si>
  <si>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</si>
  <si>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</si>
  <si>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</si>
  <si>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</si>
  <si>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</si>
  <si>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</si>
  <si>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</si>
  <si>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</si>
  <si>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</si>
  <si>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</si>
  <si>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</si>
  <si>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</si>
  <si>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</si>
  <si>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</si>
  <si>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</si>
  <si>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</si>
  <si>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</si>
  <si>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</si>
  <si>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</si>
  <si>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</si>
  <si>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</si>
  <si>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</si>
  <si>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</si>
  <si>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</si>
  <si>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</si>
  <si>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</si>
  <si>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</si>
  <si>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</si>
  <si>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</si>
  <si>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</si>
  <si>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</si>
  <si>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</si>
  <si>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</si>
  <si>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</si>
  <si>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</si>
  <si>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</si>
  <si>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</si>
  <si>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</si>
  <si>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</si>
  <si>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</si>
  <si>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</si>
  <si>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</si>
  <si>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</si>
  <si>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</si>
  <si>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</si>
  <si>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</si>
  <si>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</si>
  <si>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</si>
  <si>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</si>
  <si>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</si>
  <si>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</si>
  <si>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</si>
  <si>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</si>
  <si>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</si>
  <si>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</si>
  <si>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</si>
  <si>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</si>
  <si>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</si>
  <si>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</si>
  <si>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</si>
  <si>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</si>
  <si>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</si>
  <si>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</si>
  <si>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</si>
  <si>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</si>
  <si>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</si>
  <si>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</si>
  <si>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</si>
  <si>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</si>
  <si>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</si>
  <si>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</si>
  <si>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</si>
  <si>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</si>
  <si>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</si>
  <si>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</si>
  <si>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</si>
  <si>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</si>
  <si>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</si>
  <si>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</si>
  <si>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</si>
  <si>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</si>
  <si>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</si>
  <si>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</si>
  <si>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</si>
  <si>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</si>
  <si>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</si>
  <si>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</si>
  <si>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</si>
  <si>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</si>
  <si>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</si>
  <si>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</si>
  <si>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</si>
  <si>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</si>
  <si>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</si>
  <si>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</si>
  <si>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</si>
  <si>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</si>
  <si>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</si>
  <si>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</si>
  <si>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</si>
  <si>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</si>
  <si>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</si>
  <si>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</si>
  <si>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</si>
  <si>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</si>
  <si>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</si>
  <si>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</si>
  <si>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</si>
  <si>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</si>
  <si>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</si>
  <si>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</si>
  <si>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</si>
  <si>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</si>
  <si>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</si>
  <si>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</si>
  <si>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</si>
  <si>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</si>
  <si>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</si>
  <si>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</si>
  <si>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</si>
  <si>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</si>
  <si>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</si>
  <si>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</si>
  <si>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</si>
  <si>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</si>
  <si>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</si>
  <si>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</si>
  <si>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</si>
  <si>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</si>
  <si>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</si>
  <si>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</si>
  <si>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</si>
  <si>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</si>
  <si>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</si>
  <si>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</si>
  <si>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</si>
  <si>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</si>
  <si>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</si>
  <si>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</si>
  <si>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</si>
  <si>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</si>
  <si>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</si>
  <si>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</si>
  <si>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</si>
  <si>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</si>
  <si>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</si>
  <si>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</si>
  <si>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</si>
  <si>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</si>
  <si>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</si>
  <si>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</si>
  <si>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</si>
  <si>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</si>
  <si>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</si>
  <si>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</si>
  <si>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</si>
  <si>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</si>
  <si>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</si>
  <si>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</si>
  <si>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</si>
  <si>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</si>
  <si>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</si>
  <si>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</si>
  <si>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</si>
  <si>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</si>
  <si>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</si>
  <si>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</si>
  <si>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</si>
  <si>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</si>
  <si>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</si>
  <si>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</si>
  <si>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</si>
  <si>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</si>
  <si>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</si>
  <si>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</si>
  <si>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</si>
  <si>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</si>
  <si>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</si>
  <si>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</si>
  <si>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</si>
  <si>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</si>
  <si>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</si>
  <si>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</si>
  <si>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</si>
  <si>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</si>
  <si>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</si>
  <si>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</si>
  <si>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</si>
  <si>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</si>
  <si>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</si>
  <si>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</si>
  <si>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</si>
  <si>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</si>
  <si>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</si>
  <si>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</si>
  <si>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</si>
  <si>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</si>
  <si>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</si>
  <si>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</si>
  <si>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</si>
  <si>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</si>
  <si>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</si>
  <si>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</si>
  <si>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</si>
  <si>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</si>
  <si>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</si>
  <si>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</si>
  <si>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</si>
  <si>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</si>
  <si>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</si>
  <si>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</si>
  <si>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</si>
  <si>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</si>
  <si>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</si>
  <si>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</si>
  <si>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</si>
  <si>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</si>
  <si>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</si>
  <si>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</si>
  <si>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</si>
  <si>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</si>
  <si>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</si>
  <si>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</si>
  <si>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</si>
  <si>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</si>
  <si>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</si>
  <si>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</si>
  <si>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</si>
  <si>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</si>
  <si>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</si>
  <si>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</si>
  <si>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</si>
  <si>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</si>
  <si>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</si>
  <si>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</si>
  <si>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</si>
  <si>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</si>
  <si>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</si>
  <si>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</si>
  <si>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</si>
  <si>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</si>
  <si>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</si>
  <si>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</si>
  <si>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</si>
  <si>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</si>
  <si>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</si>
  <si>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</si>
  <si>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</si>
  <si>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</si>
  <si>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</si>
  <si>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</si>
  <si>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</si>
  <si>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</si>
  <si>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</si>
  <si>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</si>
  <si>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</si>
  <si>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</si>
  <si>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</si>
  <si>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</si>
  <si>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</si>
  <si>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</si>
  <si>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</si>
  <si>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</si>
  <si>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</si>
  <si>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</si>
  <si>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</si>
  <si>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</si>
  <si>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</si>
  <si>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</si>
  <si>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</si>
  <si>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</si>
  <si>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</si>
  <si>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</si>
  <si>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</si>
  <si>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</si>
  <si>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</si>
  <si>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</si>
  <si>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</si>
  <si>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</si>
  <si>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</si>
  <si>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</si>
  <si>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</si>
  <si>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</si>
  <si>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</si>
  <si>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</si>
  <si>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</si>
  <si>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</si>
  <si>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</si>
  <si>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</si>
  <si>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</si>
  <si>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</si>
  <si>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</si>
  <si>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</si>
  <si>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</si>
  <si>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</si>
  <si>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</si>
  <si>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</si>
  <si>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</si>
  <si>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</si>
  <si>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</si>
  <si>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</si>
  <si>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</si>
  <si>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</si>
  <si>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</si>
  <si>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</si>
  <si>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</si>
  <si>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</si>
  <si>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</si>
  <si>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</si>
  <si>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</si>
  <si>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</si>
  <si>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</si>
  <si>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</si>
  <si>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</si>
  <si>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</si>
  <si>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</si>
  <si>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</si>
  <si>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</si>
  <si>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</si>
  <si>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</si>
  <si>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</si>
  <si>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</si>
  <si>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</si>
  <si>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</si>
  <si>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</si>
  <si>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</si>
  <si>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</si>
  <si>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</si>
  <si>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</si>
  <si>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</si>
  <si>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</si>
  <si>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</si>
  <si>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</si>
  <si>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</si>
  <si>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</si>
  <si>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</si>
  <si>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</si>
  <si>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</si>
  <si>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</si>
  <si>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</si>
  <si>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</si>
  <si>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</si>
  <si>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</si>
  <si>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</si>
  <si>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</si>
  <si>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</si>
  <si>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</si>
  <si>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</si>
  <si>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</si>
  <si>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</si>
  <si>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</si>
  <si>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</si>
  <si>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</si>
  <si>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</si>
  <si>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</si>
  <si>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</si>
  <si>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</si>
  <si>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</si>
  <si>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</si>
  <si>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</si>
  <si>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</si>
  <si>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</si>
  <si>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</si>
  <si>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</si>
  <si>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</si>
  <si>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</si>
  <si>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</si>
  <si>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</si>
  <si>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</si>
  <si>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</si>
  <si>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</si>
  <si>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</si>
  <si>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</si>
  <si>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</si>
  <si>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</si>
  <si>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</si>
  <si>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</si>
  <si>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</si>
  <si>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</si>
  <si>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</si>
  <si>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</si>
  <si>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</si>
  <si>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</si>
  <si>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</si>
  <si>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</si>
  <si>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</si>
  <si>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</si>
  <si>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</si>
  <si>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</si>
  <si>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</si>
  <si>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</si>
  <si>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</si>
  <si>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</si>
  <si>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</si>
  <si>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</si>
  <si>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</si>
  <si>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</si>
  <si>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</si>
  <si>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</si>
  <si>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</si>
  <si>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</si>
  <si>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</si>
  <si>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</si>
  <si>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</si>
  <si>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</si>
  <si>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</si>
  <si>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</si>
  <si>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</si>
  <si>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</si>
  <si>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</si>
  <si>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</si>
  <si>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</si>
  <si>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</si>
  <si>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</si>
  <si>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</si>
  <si>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</si>
  <si>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</si>
  <si>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</si>
  <si>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</si>
  <si>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</si>
  <si>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</si>
  <si>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</si>
  <si>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</si>
  <si>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</si>
  <si>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</si>
  <si>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</si>
  <si>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</si>
  <si>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</si>
  <si>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</si>
  <si>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</si>
  <si>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</si>
  <si>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</si>
  <si>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</si>
  <si>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</si>
  <si>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</si>
  <si>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</si>
  <si>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</si>
  <si>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</si>
  <si>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</si>
  <si>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</si>
  <si>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</si>
  <si>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</si>
  <si>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</si>
  <si>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</si>
  <si>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</si>
  <si>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</si>
  <si>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</si>
  <si>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</si>
  <si>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</si>
  <si>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</si>
  <si>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</si>
  <si>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</si>
  <si>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</si>
  <si>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</si>
  <si>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</si>
  <si>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</si>
  <si>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</si>
  <si>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</si>
  <si>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</si>
  <si>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</si>
  <si>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</si>
  <si>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</si>
  <si>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</si>
  <si>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</si>
  <si>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</si>
  <si>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</si>
  <si>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</si>
  <si>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</si>
  <si>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</si>
  <si>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</si>
  <si>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</si>
  <si>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</si>
  <si>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</si>
  <si>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</si>
  <si>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</si>
  <si>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</si>
  <si>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</si>
  <si>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</si>
  <si>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</si>
  <si>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</si>
  <si>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</si>
  <si>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</si>
  <si>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</si>
  <si>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</si>
  <si>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</si>
  <si>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</si>
  <si>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</si>
  <si>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</si>
  <si>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</si>
  <si>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</si>
  <si>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</si>
  <si>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</si>
  <si>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</si>
  <si>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</si>
  <si>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</si>
  <si>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</si>
  <si>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</si>
  <si>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</si>
  <si>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</si>
  <si>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</si>
  <si>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</si>
  <si>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</si>
  <si>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</si>
  <si>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</si>
  <si>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</si>
  <si>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</si>
  <si>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</si>
  <si>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</si>
  <si>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</si>
  <si>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</si>
  <si>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</si>
  <si>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</si>
  <si>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</si>
  <si>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</si>
  <si>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</si>
  <si>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</si>
  <si>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</si>
  <si>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</si>
  <si>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</si>
  <si>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</si>
  <si>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</si>
  <si>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</si>
  <si>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</si>
  <si>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</si>
  <si>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</si>
  <si>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</si>
  <si>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</si>
  <si>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</si>
  <si>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</si>
  <si>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</si>
  <si>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</si>
  <si>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</si>
  <si>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</si>
  <si>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</si>
  <si>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</si>
  <si>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</si>
  <si>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</si>
  <si>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</si>
  <si>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</si>
  <si>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</si>
  <si>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</si>
  <si>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</si>
  <si>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</si>
  <si>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</si>
  <si>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</si>
  <si>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</si>
  <si>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</si>
  <si>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</si>
  <si>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</si>
  <si>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</si>
  <si>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</si>
  <si>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</si>
  <si>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</si>
  <si>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</si>
  <si>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</si>
  <si>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</si>
  <si>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</si>
  <si>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</si>
  <si>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</si>
  <si>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</si>
  <si>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</si>
  <si>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</si>
  <si>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</si>
  <si>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</si>
  <si>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</si>
  <si>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</si>
  <si>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</si>
  <si>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</si>
  <si>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</si>
  <si>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</si>
  <si>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</si>
  <si>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</si>
  <si>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</si>
  <si>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</si>
  <si>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</si>
  <si>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</si>
  <si>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</si>
  <si>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</si>
  <si>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</si>
  <si>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</si>
  <si>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</si>
  <si>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</si>
  <si>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</si>
  <si>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</si>
  <si>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</si>
  <si>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</si>
  <si>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</si>
  <si>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</si>
  <si>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</si>
  <si>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</si>
  <si>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</si>
  <si>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</si>
  <si>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</si>
  <si>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</si>
  <si>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</si>
  <si>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</si>
  <si>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</si>
  <si>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</si>
  <si>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</si>
  <si>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</si>
  <si>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</si>
  <si>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</si>
  <si>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</si>
  <si>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</si>
  <si>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</si>
  <si>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</si>
  <si>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</si>
  <si>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</si>
  <si>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</si>
  <si>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</si>
  <si>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</si>
  <si>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</si>
  <si>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</si>
  <si>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</si>
  <si>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</si>
  <si>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</si>
  <si>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</si>
  <si>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</si>
  <si>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</si>
  <si>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</si>
  <si>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</si>
  <si>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</si>
  <si>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</si>
  <si>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</si>
  <si>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</si>
  <si>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</si>
  <si>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</si>
  <si>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</si>
  <si>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</si>
  <si>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</si>
  <si>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</si>
  <si>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</si>
  <si>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</si>
  <si>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</si>
  <si>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</si>
  <si>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</si>
  <si>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</si>
  <si>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</si>
  <si>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</si>
  <si>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</si>
  <si>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</si>
  <si>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</si>
  <si>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</si>
  <si>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</si>
  <si>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</si>
  <si>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</si>
  <si>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</si>
  <si>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</si>
  <si>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</si>
  <si>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</si>
  <si>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</si>
  <si>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</si>
  <si>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</si>
  <si>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</si>
  <si>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</si>
  <si>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</si>
  <si>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</si>
  <si>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</si>
  <si>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</si>
  <si>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</si>
  <si>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</si>
  <si>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</si>
  <si>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</si>
  <si>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</si>
  <si>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</si>
  <si>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</si>
  <si>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</si>
  <si>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</si>
  <si>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</si>
  <si>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</si>
  <si>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</si>
  <si>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</si>
  <si>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</si>
  <si>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</si>
  <si>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</si>
  <si>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</si>
  <si>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</si>
  <si>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</si>
  <si>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</si>
  <si>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</si>
  <si>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</si>
  <si>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</si>
  <si>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</si>
  <si>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</si>
  <si>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</si>
  <si>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</si>
  <si>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</si>
  <si>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</si>
  <si>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</si>
  <si>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</si>
  <si>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</si>
  <si>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</si>
  <si>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</si>
  <si>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</si>
  <si>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</si>
  <si>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</si>
  <si>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</si>
  <si>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</si>
  <si>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</si>
  <si>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</si>
  <si>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</si>
  <si>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</si>
  <si>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</si>
  <si>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</si>
  <si>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</si>
  <si>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</si>
  <si>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</si>
  <si>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</si>
  <si>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</si>
  <si>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</si>
  <si>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</si>
  <si>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</si>
  <si>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</si>
  <si>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</si>
  <si>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</si>
  <si>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</si>
  <si>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</si>
  <si>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</si>
  <si>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</si>
  <si>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</si>
  <si>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</si>
  <si>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</si>
  <si>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</si>
  <si>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</si>
  <si>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</si>
  <si>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</si>
  <si>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</si>
  <si>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</si>
  <si>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</si>
  <si>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</si>
  <si>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</si>
  <si>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</si>
  <si>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</si>
  <si>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</si>
  <si>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</si>
  <si>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</si>
  <si>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</si>
  <si>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</si>
  <si>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</si>
  <si>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</si>
  <si>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</si>
  <si>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</si>
  <si>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</si>
  <si>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</si>
  <si>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</si>
  <si>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</si>
  <si>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</si>
  <si>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</si>
  <si>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</si>
  <si>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</si>
  <si>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</si>
  <si>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</si>
  <si>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</si>
  <si>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</si>
  <si>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</si>
  <si>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</si>
  <si>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</si>
  <si>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</si>
  <si>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</si>
  <si>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</si>
  <si>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</si>
  <si>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</si>
  <si>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</si>
  <si>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</si>
  <si>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</si>
  <si>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</si>
  <si>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</si>
  <si>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</si>
  <si>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</si>
  <si>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</si>
  <si>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</si>
  <si>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</si>
  <si>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</si>
  <si>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</si>
  <si>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</si>
  <si>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</si>
  <si>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</si>
  <si>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</si>
  <si>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</si>
  <si>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</si>
  <si>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</si>
  <si>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</si>
  <si>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</si>
  <si>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</si>
  <si>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</si>
  <si>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</si>
  <si>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</si>
  <si>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</si>
  <si>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</si>
  <si>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</si>
  <si>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</si>
  <si>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</si>
  <si>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</si>
  <si>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</si>
  <si>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</si>
  <si>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</si>
  <si>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</si>
  <si>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</si>
  <si>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</si>
  <si>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</si>
  <si>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</si>
  <si>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</si>
  <si>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</si>
  <si>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</si>
  <si>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</si>
  <si>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</si>
  <si>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</si>
  <si>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</si>
  <si>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</si>
  <si>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</si>
  <si>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</si>
  <si>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</si>
  <si>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</si>
  <si>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</si>
  <si>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</si>
  <si>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</si>
  <si>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</si>
  <si>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</si>
  <si>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</si>
  <si>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</si>
  <si>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</si>
  <si>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</si>
  <si>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</si>
  <si>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</si>
  <si>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</si>
  <si>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</si>
  <si>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</si>
  <si>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</si>
  <si>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</si>
  <si>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</si>
  <si>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</si>
  <si>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</si>
  <si>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</si>
  <si>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</si>
  <si>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</si>
  <si>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</si>
  <si>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</si>
  <si>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</si>
  <si>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</si>
  <si>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</si>
  <si>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</si>
  <si>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</si>
  <si>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</si>
  <si>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</si>
  <si>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</si>
  <si>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</si>
  <si>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</si>
  <si>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</si>
  <si>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</si>
  <si>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</si>
  <si>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</si>
  <si>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</si>
  <si>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</si>
  <si>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</si>
  <si>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</si>
  <si>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</si>
  <si>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</si>
  <si>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</si>
  <si>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</si>
  <si>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</si>
  <si>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</si>
  <si>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</si>
  <si>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</si>
  <si>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</si>
  <si>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</si>
  <si>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</si>
  <si>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</si>
  <si>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</si>
  <si>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</si>
  <si>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</si>
  <si>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</si>
  <si>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</si>
  <si>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</si>
  <si>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</si>
  <si>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</si>
  <si>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</si>
  <si>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</si>
  <si>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</si>
  <si>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</si>
  <si>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</si>
  <si>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</si>
  <si>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</si>
  <si>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</si>
  <si>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</si>
  <si>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</si>
  <si>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</si>
  <si>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</si>
  <si>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</si>
  <si>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</si>
  <si>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</si>
  <si>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</si>
  <si>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</si>
  <si>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</si>
  <si>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</si>
  <si>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</si>
  <si>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</si>
  <si>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</si>
  <si>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</si>
  <si>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</si>
  <si>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</si>
  <si>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</si>
  <si>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</si>
  <si>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</si>
  <si>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</si>
  <si>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</si>
  <si>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</si>
  <si>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</si>
  <si>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</si>
  <si>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</si>
  <si>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</si>
  <si>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</si>
  <si>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</si>
  <si>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</si>
  <si>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</si>
  <si>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</si>
  <si>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</si>
  <si>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</si>
  <si>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</si>
  <si>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</si>
  <si>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</si>
  <si>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</si>
  <si>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</si>
  <si>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</si>
  <si>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</si>
  <si>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</si>
  <si>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</si>
  <si>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</si>
  <si>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</si>
  <si>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</si>
  <si>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</si>
  <si>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</si>
  <si>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</si>
  <si>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</si>
  <si>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</si>
  <si>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</si>
  <si>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</si>
  <si>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</si>
  <si>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</si>
  <si>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</si>
  <si>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</si>
  <si>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</si>
  <si>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</si>
  <si>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</si>
  <si>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</si>
  <si>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</si>
  <si>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</si>
  <si>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</si>
  <si>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</si>
  <si>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</si>
  <si>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</si>
  <si>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</si>
  <si>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</si>
  <si>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</si>
  <si>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</si>
  <si>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</si>
  <si>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</si>
  <si>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</si>
  <si>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</si>
  <si>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</si>
  <si>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</si>
  <si>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</si>
  <si>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</si>
  <si>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</si>
  <si>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</si>
  <si>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</si>
  <si>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</si>
  <si>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</si>
  <si>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</si>
  <si>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</si>
  <si>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</si>
  <si>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</si>
  <si>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</si>
  <si>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</si>
  <si>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</si>
  <si>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</si>
  <si>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</si>
  <si>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</si>
  <si>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</si>
  <si>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</si>
  <si>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</si>
  <si>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</si>
  <si>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</si>
  <si>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</si>
  <si>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</si>
  <si>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</si>
  <si>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</si>
  <si>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</si>
  <si>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</si>
  <si>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</si>
  <si>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</si>
  <si>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</si>
  <si>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</si>
  <si>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</si>
  <si>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</si>
  <si>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</si>
  <si>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</si>
  <si>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</si>
  <si>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</si>
  <si>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</si>
  <si>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</si>
  <si>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</si>
  <si>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</si>
  <si>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</si>
  <si>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</si>
  <si>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</si>
  <si>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</si>
  <si>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</si>
  <si>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</si>
  <si>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</si>
  <si>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</si>
  <si>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</si>
  <si>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</si>
  <si>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</si>
  <si>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</si>
  <si>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</si>
  <si>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</si>
  <si>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</si>
  <si>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</si>
  <si>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</si>
  <si>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</si>
  <si>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</si>
  <si>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</si>
  <si>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</si>
  <si>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</si>
  <si>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</si>
  <si>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</si>
  <si>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</si>
  <si>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</si>
  <si>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</si>
  <si>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</si>
  <si>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</si>
  <si>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</si>
  <si>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</si>
  <si>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</si>
  <si>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</si>
  <si>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</si>
  <si>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</si>
  <si>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</si>
  <si>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</si>
  <si>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</si>
  <si>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</si>
  <si>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</si>
  <si>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</si>
  <si>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</si>
  <si>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</si>
  <si>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</si>
  <si>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</si>
  <si>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</si>
  <si>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</si>
  <si>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</si>
  <si>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</si>
  <si>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</si>
  <si>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</si>
  <si>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</si>
  <si>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</si>
  <si>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</si>
  <si>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</si>
  <si>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</si>
  <si>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</si>
  <si>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</si>
  <si>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</si>
  <si>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</si>
  <si>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</si>
  <si>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</si>
  <si>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</si>
  <si>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</si>
  <si>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</si>
  <si>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</si>
  <si>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</si>
  <si>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</si>
  <si>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</si>
  <si>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</si>
  <si>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</si>
  <si>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</si>
  <si>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</si>
  <si>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</si>
  <si>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</si>
  <si>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</si>
  <si>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</si>
  <si>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</si>
  <si>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</si>
  <si>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</si>
  <si>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</si>
  <si>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</si>
  <si>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</si>
  <si>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</si>
  <si>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</si>
  <si>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</si>
  <si>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</si>
  <si>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</si>
  <si>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</si>
  <si>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</si>
  <si>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</si>
  <si>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</si>
  <si>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</si>
  <si>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</si>
  <si>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</si>
  <si>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</si>
  <si>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</si>
  <si>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</si>
  <si>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</si>
  <si>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</si>
  <si>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</si>
  <si>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</si>
  <si>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</si>
  <si>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</si>
  <si>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</si>
  <si>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</si>
  <si>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</si>
  <si>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</si>
  <si>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</si>
  <si>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</si>
  <si>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</si>
  <si>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</si>
  <si>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</si>
  <si>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</si>
  <si>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</si>
  <si>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</si>
  <si>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</si>
  <si>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</si>
  <si>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</si>
  <si>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</si>
  <si>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</si>
  <si>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</si>
  <si>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</si>
  <si>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</si>
  <si>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</si>
  <si>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</si>
  <si>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</si>
  <si>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</si>
  <si>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</si>
  <si>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</si>
  <si>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</si>
  <si>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</si>
  <si>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</si>
  <si>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</si>
  <si>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</si>
  <si>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</si>
  <si>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</si>
  <si>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</si>
  <si>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</si>
  <si>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</si>
  <si>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</si>
  <si>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</si>
  <si>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</si>
  <si>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</si>
  <si>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</si>
  <si>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</si>
  <si>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</si>
  <si>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</si>
  <si>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</si>
  <si>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</si>
  <si>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</si>
  <si>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</si>
  <si>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</si>
  <si>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</si>
  <si>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</si>
  <si>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</si>
  <si>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</si>
  <si>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</si>
  <si>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</si>
  <si>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</si>
  <si>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</si>
  <si>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</si>
  <si>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</si>
  <si>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</si>
  <si>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</si>
  <si>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</si>
  <si>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</si>
  <si>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</si>
  <si>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</si>
  <si>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</si>
  <si>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</si>
  <si>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</si>
  <si>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</si>
  <si>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</si>
  <si>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</si>
  <si>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</si>
  <si>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</si>
  <si>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</si>
  <si>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</si>
  <si>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</si>
  <si>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</si>
  <si>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</si>
  <si>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</si>
  <si>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</si>
  <si>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</si>
  <si>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</si>
  <si>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</si>
  <si>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</si>
  <si>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</si>
  <si>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</si>
  <si>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</si>
  <si>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</si>
  <si>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</si>
  <si>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</si>
  <si>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</si>
  <si>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</si>
  <si>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</si>
  <si>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</si>
  <si>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</si>
  <si>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</si>
  <si>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</si>
  <si>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</si>
  <si>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</si>
  <si>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</si>
  <si>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</si>
  <si>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</si>
  <si>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</si>
  <si>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</si>
  <si>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</si>
  <si>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</si>
  <si>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</si>
  <si>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</si>
  <si>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</si>
  <si>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</si>
  <si>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</si>
  <si>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</si>
  <si>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</si>
  <si>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</si>
  <si>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</si>
  <si>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</si>
  <si>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</si>
  <si>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</si>
  <si>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</si>
  <si>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</si>
  <si>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</si>
  <si>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</si>
  <si>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</si>
  <si>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</si>
  <si>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</si>
  <si>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</si>
  <si>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</si>
  <si>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</si>
  <si>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</si>
  <si>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</si>
  <si>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</si>
  <si>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</si>
  <si>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</si>
  <si>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</si>
  <si>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</si>
  <si>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</si>
  <si>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</si>
  <si>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</si>
  <si>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</si>
  <si>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</si>
  <si>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</si>
  <si>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</si>
  <si>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</si>
  <si>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</si>
  <si>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</si>
  <si>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</si>
  <si>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</si>
  <si>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</si>
  <si>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</si>
  <si>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</si>
  <si>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</si>
  <si>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</si>
  <si>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</si>
  <si>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</si>
  <si>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</si>
  <si>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</si>
  <si>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</si>
  <si>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</si>
  <si>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</si>
  <si>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</si>
  <si>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</si>
  <si>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</si>
  <si>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</si>
  <si>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</si>
  <si>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</si>
  <si>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</si>
  <si>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</si>
  <si>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</si>
  <si>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</si>
  <si>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</si>
  <si>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</si>
  <si>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</si>
  <si>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</si>
  <si>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</si>
  <si>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</si>
  <si>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</si>
  <si>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</si>
  <si>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</si>
  <si>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</si>
  <si>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</si>
  <si>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</si>
  <si>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</si>
  <si>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</si>
  <si>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</si>
  <si>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</si>
  <si>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</si>
  <si>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</si>
  <si>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</si>
  <si>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</si>
  <si>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</si>
  <si>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</si>
  <si>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</si>
  <si>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</si>
  <si>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</si>
  <si>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</si>
  <si>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</si>
  <si>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</si>
  <si>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</si>
  <si>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</si>
  <si>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</si>
  <si>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</si>
  <si>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</si>
  <si>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</si>
  <si>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</si>
  <si>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</si>
  <si>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</si>
  <si>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</si>
  <si>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</si>
  <si>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</si>
  <si>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</si>
  <si>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</si>
  <si>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</si>
  <si>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</si>
  <si>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</si>
  <si>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</si>
  <si>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</si>
  <si>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</si>
  <si>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</si>
  <si>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</si>
  <si>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</si>
  <si>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</si>
  <si>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</si>
  <si>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</si>
  <si>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</si>
  <si>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</si>
  <si>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</si>
  <si>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</si>
  <si>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</si>
  <si>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</si>
  <si>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</si>
  <si>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</si>
  <si>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</si>
  <si>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</si>
  <si>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</si>
  <si>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</si>
  <si>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</si>
  <si>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</si>
  <si>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</si>
  <si>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</si>
  <si>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</si>
  <si>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</si>
  <si>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</si>
  <si>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</si>
  <si>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</si>
  <si>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</si>
  <si>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</si>
  <si>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</si>
  <si>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</si>
  <si>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</si>
  <si>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</si>
  <si>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</si>
  <si>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</si>
  <si>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</si>
  <si>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</si>
  <si>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</si>
  <si>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</si>
  <si>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</si>
  <si>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</si>
  <si>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</si>
  <si>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</si>
  <si>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</si>
  <si>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</si>
  <si>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</si>
  <si>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</si>
  <si>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</si>
  <si>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</si>
  <si>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</si>
  <si>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</si>
  <si>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</si>
  <si>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</si>
  <si>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</si>
  <si>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</si>
  <si>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</si>
  <si>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</si>
  <si>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</si>
  <si>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</si>
  <si>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</si>
  <si>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</si>
  <si>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</si>
  <si>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</si>
  <si>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</si>
  <si>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</si>
  <si>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</si>
  <si>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</si>
  <si>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</si>
  <si>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</si>
  <si>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</si>
  <si>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</si>
  <si>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</si>
  <si>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</si>
  <si>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</si>
  <si>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</si>
  <si>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</si>
  <si>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</si>
  <si>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</si>
  <si>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</si>
  <si>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</si>
  <si>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</si>
  <si>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</si>
  <si>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</si>
  <si>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</si>
  <si>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</si>
  <si>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</si>
  <si>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</si>
  <si>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</si>
  <si>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</si>
  <si>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</si>
  <si>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</si>
  <si>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</si>
  <si>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</si>
  <si>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</si>
  <si>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</si>
  <si>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</si>
  <si>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</si>
  <si>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</si>
  <si>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</si>
  <si>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</si>
  <si>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</si>
  <si>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</si>
  <si>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</si>
  <si>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</si>
  <si>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</si>
  <si>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</si>
  <si>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</si>
  <si>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</si>
  <si>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</si>
  <si>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</si>
  <si>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</si>
  <si>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</si>
  <si>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</si>
  <si>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</si>
  <si>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</si>
  <si>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</si>
  <si>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</si>
  <si>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</si>
  <si>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</si>
  <si>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</si>
  <si>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</si>
  <si>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</si>
  <si>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</si>
  <si>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</si>
  <si>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</si>
  <si>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</si>
  <si>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</si>
  <si>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</si>
  <si>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</si>
  <si>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</si>
  <si>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</si>
  <si>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</si>
  <si>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</si>
  <si>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</si>
  <si>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</si>
  <si>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</si>
  <si>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</si>
  <si>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</si>
  <si>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</si>
  <si>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</si>
  <si>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</si>
  <si>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</si>
  <si>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</si>
  <si>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</si>
  <si>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</si>
  <si>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</si>
  <si>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</si>
  <si>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</si>
  <si>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</si>
  <si>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</si>
  <si>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</si>
  <si>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</si>
  <si>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</si>
  <si>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</si>
  <si>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</si>
  <si>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</si>
  <si>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</si>
  <si>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</si>
  <si>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</si>
  <si>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</si>
  <si>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</si>
  <si>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</si>
  <si>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</si>
  <si>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</si>
  <si>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</si>
  <si>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</si>
  <si>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</si>
  <si>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</si>
  <si>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</si>
  <si>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</si>
  <si>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</si>
  <si>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</si>
  <si>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</si>
  <si>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</si>
  <si>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</si>
  <si>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</si>
  <si>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</si>
  <si>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</si>
  <si>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</si>
  <si>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</si>
  <si>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</si>
  <si>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</si>
  <si>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</si>
  <si>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</si>
  <si>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</si>
  <si>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</si>
  <si>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</si>
  <si>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</si>
  <si>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</si>
  <si>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</si>
  <si>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</si>
  <si>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</si>
  <si>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</si>
  <si>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</si>
  <si>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</si>
  <si>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</si>
  <si>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</si>
  <si>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</si>
  <si>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</si>
  <si>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</si>
  <si>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</si>
  <si>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</si>
  <si>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</si>
  <si>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</si>
  <si>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</si>
  <si>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</si>
  <si>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</si>
  <si>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</si>
  <si>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</si>
  <si>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</si>
  <si>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</si>
  <si>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</si>
  <si>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</si>
  <si>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</si>
  <si>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</si>
  <si>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</si>
  <si>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</si>
  <si>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</si>
  <si>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</si>
  <si>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</si>
  <si>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</si>
  <si>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</si>
  <si>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</si>
  <si>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</si>
  <si>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</si>
  <si>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</si>
  <si>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</si>
  <si>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</si>
  <si>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</si>
  <si>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</si>
  <si>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</si>
  <si>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</si>
  <si>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</si>
  <si>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</si>
  <si>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</si>
  <si>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</si>
  <si>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</si>
  <si>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</si>
  <si>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</si>
  <si>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</si>
  <si>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</si>
  <si>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</si>
  <si>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</si>
  <si>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</si>
  <si>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</si>
  <si>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</si>
  <si>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</si>
  <si>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</si>
  <si>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</si>
  <si>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</si>
  <si>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</si>
  <si>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</si>
  <si>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</si>
  <si>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</si>
  <si>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</si>
  <si>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</si>
  <si>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</si>
  <si>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</si>
  <si>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</si>
  <si>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</si>
  <si>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</si>
  <si>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</si>
  <si>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</si>
  <si>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</si>
  <si>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</si>
  <si>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</si>
  <si>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</si>
  <si>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</si>
  <si>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</si>
  <si>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</si>
  <si>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</si>
  <si>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</si>
  <si>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</si>
  <si>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</si>
  <si>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</si>
  <si>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</si>
  <si>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</si>
  <si>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</si>
  <si>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</si>
  <si>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</si>
  <si>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</si>
  <si>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</si>
  <si>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</si>
  <si>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</si>
  <si>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</si>
  <si>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</si>
  <si>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</si>
  <si>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</si>
  <si>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</si>
  <si>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</si>
  <si>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</si>
  <si>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</si>
  <si>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</si>
  <si>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</si>
  <si>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</si>
  <si>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</si>
  <si>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</si>
  <si>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</si>
  <si>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</si>
  <si>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</si>
  <si>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</si>
  <si>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</si>
  <si>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</si>
  <si>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</si>
  <si>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</si>
  <si>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</si>
  <si>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</si>
  <si>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</si>
  <si>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</si>
  <si>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</si>
  <si>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</si>
  <si>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</si>
  <si>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</si>
  <si>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</si>
  <si>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</si>
  <si>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</si>
  <si>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</si>
  <si>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</si>
  <si>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</si>
  <si>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</si>
  <si>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</si>
  <si>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</si>
  <si>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</si>
  <si>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</si>
  <si>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</si>
  <si>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</si>
  <si>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</si>
  <si>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</si>
  <si>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</si>
  <si>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</si>
  <si>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</si>
  <si>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</si>
  <si>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</si>
  <si>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</si>
  <si>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</si>
  <si>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</si>
  <si>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</si>
  <si>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</si>
  <si>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</si>
  <si>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</si>
  <si>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</si>
  <si>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</si>
  <si>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</si>
  <si>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</si>
  <si>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</si>
  <si>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</si>
  <si>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</si>
  <si>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</si>
  <si>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</si>
  <si>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</si>
  <si>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</si>
  <si>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</si>
  <si>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</si>
  <si>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</si>
  <si>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</si>
  <si>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</si>
  <si>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</si>
  <si>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</si>
  <si>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</si>
  <si>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</si>
  <si>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</si>
  <si>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</si>
  <si>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</si>
  <si>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</si>
  <si>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</si>
  <si>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</si>
  <si>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</si>
  <si>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</si>
  <si>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</si>
  <si>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</si>
  <si>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</si>
  <si>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</si>
  <si>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</si>
  <si>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</si>
  <si>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</si>
  <si>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</si>
  <si>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</si>
  <si>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</si>
  <si>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</si>
  <si>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</si>
  <si>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</si>
  <si>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</si>
  <si>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</si>
  <si>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</si>
  <si>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</si>
  <si>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</si>
  <si>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</si>
  <si>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</si>
  <si>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</si>
  <si>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</si>
  <si>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</si>
  <si>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</si>
  <si>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</si>
  <si>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</si>
  <si>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</si>
  <si>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</si>
  <si>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</si>
  <si>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</si>
  <si>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</si>
  <si>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</si>
  <si>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</si>
  <si>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</si>
  <si>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</si>
  <si>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</si>
  <si>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</si>
  <si>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</si>
  <si>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</si>
  <si>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</si>
  <si>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</si>
  <si>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</si>
  <si>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</si>
  <si>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</si>
  <si>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</si>
  <si>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</si>
  <si>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</si>
  <si>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</si>
  <si>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</si>
  <si>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</si>
  <si>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</si>
  <si>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</si>
  <si>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</si>
  <si>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</si>
  <si>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</si>
  <si>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</si>
  <si>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</si>
  <si>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</si>
  <si>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</si>
  <si>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</si>
  <si>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</si>
  <si>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</si>
  <si>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</si>
  <si>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</si>
  <si>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</si>
  <si>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</si>
  <si>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</si>
  <si>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</si>
  <si>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</si>
  <si>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</si>
  <si>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</si>
  <si>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</si>
  <si>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</si>
  <si>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</si>
  <si>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</si>
  <si>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</si>
  <si>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</si>
  <si>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</si>
  <si>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</si>
  <si>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</si>
  <si>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</si>
  <si>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</si>
  <si>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</si>
  <si>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</si>
  <si>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</si>
  <si>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</si>
  <si>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</si>
  <si>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</si>
  <si>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</si>
  <si>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</si>
  <si>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</si>
  <si>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</si>
  <si>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</si>
  <si>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</si>
  <si>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</si>
  <si>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</si>
  <si>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</si>
  <si>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</si>
  <si>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</si>
  <si>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</si>
  <si>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</si>
  <si>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</si>
  <si>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</si>
  <si>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</si>
  <si>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</si>
  <si>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</si>
  <si>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</si>
  <si>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</si>
  <si>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</si>
  <si>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</si>
  <si>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</si>
  <si>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</si>
  <si>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</si>
  <si>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</si>
  <si>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</si>
  <si>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</si>
  <si>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</si>
  <si>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</si>
  <si>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</si>
  <si>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</si>
  <si>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</si>
  <si>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</si>
  <si>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</si>
  <si>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</si>
  <si>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</si>
  <si>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</si>
  <si>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</si>
  <si>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</si>
  <si>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</si>
  <si>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</si>
  <si>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</si>
  <si>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</si>
  <si>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</si>
  <si>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</si>
  <si>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</si>
  <si>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</si>
  <si>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</si>
  <si>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</si>
  <si>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</si>
  <si>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</si>
  <si>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</si>
  <si>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</si>
  <si>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</si>
  <si>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</si>
  <si>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</si>
  <si>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</si>
  <si>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</si>
  <si>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</si>
  <si>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</si>
  <si>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</si>
  <si>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</si>
  <si>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</si>
  <si>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</si>
  <si>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</si>
  <si>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</si>
  <si>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</si>
  <si>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</si>
  <si>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</si>
  <si>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</si>
  <si>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</si>
  <si>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</si>
  <si>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</si>
  <si>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</si>
  <si>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</si>
  <si>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</si>
  <si>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</si>
  <si>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</si>
  <si>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</si>
  <si>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</si>
  <si>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</si>
  <si>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</si>
  <si>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</si>
  <si>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</si>
  <si>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</si>
  <si>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</si>
  <si>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</si>
  <si>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</si>
  <si>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</si>
  <si>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</si>
  <si>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</si>
  <si>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</si>
  <si>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</si>
  <si>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</si>
  <si>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</si>
  <si>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</si>
  <si>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</si>
  <si>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</si>
  <si>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</si>
  <si>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</si>
  <si>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</si>
  <si>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</si>
  <si>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</si>
  <si>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</si>
  <si>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</si>
  <si>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</si>
  <si>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</si>
  <si>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</si>
  <si>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</si>
  <si>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</si>
  <si>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</si>
  <si>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</si>
  <si>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</si>
  <si>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</si>
  <si>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</si>
  <si>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</si>
  <si>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</si>
  <si>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</si>
  <si>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</si>
  <si>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</si>
  <si>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</si>
  <si>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</si>
  <si>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</si>
  <si>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</si>
  <si>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</si>
  <si>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</si>
  <si>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</si>
  <si>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</si>
  <si>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</si>
  <si>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</si>
  <si>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</si>
  <si>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</si>
  <si>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</si>
  <si>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</si>
  <si>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</si>
  <si>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</si>
  <si>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</si>
  <si>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</si>
  <si>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</si>
  <si>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</si>
  <si>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</si>
  <si>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</si>
  <si>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</si>
  <si>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</si>
  <si>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</si>
  <si>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</si>
  <si>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</si>
  <si>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</si>
  <si>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</si>
  <si>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</si>
  <si>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</si>
  <si>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</si>
  <si>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</si>
  <si>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</si>
  <si>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</si>
  <si>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</si>
  <si>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</si>
  <si>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</si>
  <si>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</si>
  <si>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</si>
  <si>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</si>
  <si>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</si>
  <si>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</si>
  <si>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</si>
  <si>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</si>
  <si>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</si>
  <si>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</si>
  <si>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</si>
  <si>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</si>
  <si>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</si>
  <si>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</si>
  <si>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</si>
  <si>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</si>
  <si>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</si>
  <si>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</si>
  <si>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</si>
  <si>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</si>
  <si>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</si>
  <si>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</si>
  <si>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</si>
  <si>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</si>
  <si>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</si>
  <si>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</si>
  <si>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</si>
  <si>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</si>
  <si>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</si>
  <si>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</si>
  <si>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</si>
  <si>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</si>
  <si>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</si>
  <si>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</si>
  <si>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</si>
  <si>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</si>
  <si>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</si>
  <si>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</si>
  <si>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</si>
  <si>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</si>
  <si>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</si>
  <si>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</si>
  <si>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</si>
  <si>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</si>
  <si>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</si>
  <si>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</si>
  <si>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</si>
  <si>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</si>
  <si>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</si>
  <si>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</si>
  <si>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</si>
  <si>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</si>
  <si>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</si>
  <si>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</si>
  <si>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</si>
  <si>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</si>
  <si>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</si>
  <si>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</si>
  <si>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</si>
  <si>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</si>
  <si>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</si>
  <si>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</si>
  <si>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</si>
  <si>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</si>
  <si>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</si>
  <si>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</si>
  <si>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</si>
  <si>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</si>
  <si>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</si>
  <si>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</si>
  <si>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</si>
  <si>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</si>
  <si>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</si>
  <si>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</si>
  <si>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</si>
  <si>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</si>
  <si>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</si>
  <si>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</si>
  <si>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</si>
  <si>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</si>
  <si>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</si>
  <si>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</si>
  <si>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</si>
  <si>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</si>
  <si>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</si>
  <si>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</si>
  <si>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</si>
  <si>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</si>
  <si>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</si>
  <si>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</si>
  <si>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</si>
  <si>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</si>
  <si>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</si>
  <si>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</si>
  <si>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</si>
  <si>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</si>
  <si>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</si>
  <si>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</si>
  <si>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</si>
  <si>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</si>
  <si>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</si>
  <si>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</si>
  <si>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</si>
  <si>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</si>
  <si>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</si>
  <si>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</si>
  <si>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</si>
  <si>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</si>
  <si>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</si>
  <si>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</si>
  <si>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</si>
  <si>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</si>
  <si>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</si>
  <si>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</si>
  <si>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</si>
  <si>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</si>
  <si>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</si>
  <si>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</si>
  <si>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</si>
  <si>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</si>
  <si>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</si>
  <si>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</si>
  <si>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</si>
  <si>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</si>
  <si>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</si>
  <si>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</si>
  <si>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</si>
  <si>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</si>
  <si>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</si>
  <si>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</si>
  <si>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</si>
  <si>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</si>
  <si>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</si>
  <si>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</si>
  <si>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</si>
  <si>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</si>
  <si>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</si>
  <si>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</si>
  <si>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</si>
  <si>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</si>
  <si>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</si>
  <si>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</si>
  <si>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</si>
  <si>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</si>
  <si>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</si>
  <si>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</si>
  <si>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</si>
  <si>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</si>
  <si>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</si>
  <si>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</si>
  <si>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</si>
  <si>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</si>
  <si>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</si>
  <si>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</si>
  <si>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</si>
  <si>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</si>
  <si>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</si>
  <si>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</si>
  <si>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</si>
  <si>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</si>
  <si>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</si>
  <si>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</si>
  <si>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</si>
  <si>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</si>
  <si>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</si>
  <si>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</si>
  <si>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</si>
  <si>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</si>
  <si>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</si>
  <si>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</si>
  <si>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</si>
  <si>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</si>
  <si>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</si>
  <si>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</si>
  <si>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</si>
  <si>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</si>
  <si>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</si>
  <si>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</si>
  <si>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</si>
  <si>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</si>
  <si>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</si>
  <si>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</si>
  <si>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</si>
  <si>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</si>
  <si>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</si>
  <si>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</si>
  <si>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</si>
  <si>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</si>
  <si>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</si>
  <si>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</si>
  <si>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</si>
  <si>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</si>
  <si>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</si>
  <si>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</si>
  <si>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</si>
  <si>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</si>
  <si>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</si>
  <si>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</si>
  <si>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</si>
  <si>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</si>
  <si>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</si>
  <si>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</si>
  <si>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</si>
  <si>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</si>
  <si>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</si>
  <si>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</si>
  <si>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</si>
  <si>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</si>
  <si>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</si>
  <si>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</si>
  <si>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</si>
  <si>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</si>
  <si>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</si>
  <si>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</si>
  <si>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</si>
  <si>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</si>
  <si>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</si>
  <si>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</si>
  <si>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</si>
  <si>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</si>
  <si>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</si>
  <si>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</si>
  <si>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</si>
  <si>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</si>
  <si>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</si>
  <si>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</si>
  <si>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</si>
  <si>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</si>
  <si>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</si>
  <si>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</si>
  <si>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</si>
  <si>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</si>
  <si>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</si>
  <si>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</si>
  <si>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</si>
  <si>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</si>
  <si>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</si>
  <si>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</si>
  <si>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</si>
  <si>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</si>
  <si>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</si>
  <si>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</si>
  <si>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</si>
  <si>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</si>
  <si>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</si>
  <si>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</si>
  <si>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</si>
  <si>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</si>
  <si>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</si>
  <si>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</si>
  <si>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</si>
  <si>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</si>
  <si>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</si>
  <si>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</si>
  <si>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</si>
  <si>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</si>
  <si>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</si>
  <si>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</si>
  <si>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</si>
  <si>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</si>
  <si>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</si>
  <si>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</si>
  <si>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</si>
  <si>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</si>
  <si>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</si>
  <si>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</si>
  <si>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</si>
  <si>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</si>
  <si>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</si>
  <si>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</si>
  <si>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</si>
  <si>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</si>
  <si>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</si>
  <si>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</si>
  <si>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</si>
  <si>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</si>
  <si>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</si>
  <si>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</si>
  <si>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</si>
  <si>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</si>
  <si>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</si>
  <si>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</si>
  <si>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</si>
  <si>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</si>
  <si>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</si>
  <si>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</si>
  <si>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</si>
  <si>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</si>
  <si>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</si>
  <si>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</si>
  <si>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</si>
  <si>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</si>
  <si>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</si>
  <si>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</si>
  <si>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</si>
  <si>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</si>
  <si>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</si>
  <si>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</si>
  <si>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</si>
  <si>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</si>
  <si>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</si>
  <si>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</si>
  <si>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</si>
  <si>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</si>
  <si>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</si>
  <si>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</si>
  <si>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</si>
  <si>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</si>
  <si>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</si>
  <si>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</si>
  <si>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</si>
  <si>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</si>
  <si>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</si>
  <si>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</si>
  <si>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</si>
  <si>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</si>
  <si>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</si>
  <si>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</si>
  <si>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</si>
  <si>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</si>
  <si>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</si>
  <si>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</si>
  <si>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</si>
  <si>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</si>
  <si>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</si>
  <si>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</si>
  <si>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</si>
  <si>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</si>
  <si>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</si>
  <si>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</si>
  <si>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</si>
  <si>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</si>
  <si>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</si>
  <si>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</si>
  <si>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</si>
  <si>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</si>
  <si>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</si>
  <si>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</si>
  <si>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</si>
  <si>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</si>
  <si>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</si>
  <si>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</si>
  <si>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</si>
  <si>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</si>
  <si>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</si>
  <si>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</si>
  <si>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</si>
  <si>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</si>
  <si>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</si>
  <si>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</si>
  <si>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</si>
  <si>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</si>
  <si>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</si>
  <si>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</si>
  <si>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</si>
  <si>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</si>
  <si>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</si>
  <si>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</si>
  <si>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</si>
  <si>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</si>
  <si>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</si>
  <si>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</si>
  <si>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</si>
  <si>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</si>
  <si>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</si>
  <si>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</si>
  <si>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</si>
  <si>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</si>
  <si>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</si>
  <si>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</si>
  <si>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</si>
  <si>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</si>
  <si>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</si>
  <si>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</si>
  <si>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</si>
  <si>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</si>
  <si>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</si>
  <si>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</si>
  <si>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</si>
  <si>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</si>
  <si>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</si>
  <si>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</si>
  <si>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</si>
  <si>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</si>
  <si>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</si>
  <si>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</si>
  <si>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</si>
  <si>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</si>
  <si>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</si>
  <si>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</si>
  <si>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</si>
  <si>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</si>
  <si>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</si>
  <si>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</si>
  <si>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</si>
  <si>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</si>
  <si>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</si>
  <si>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</si>
  <si>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</si>
  <si>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</si>
  <si>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</si>
  <si>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</si>
  <si>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</si>
  <si>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</si>
  <si>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</si>
  <si>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</si>
  <si>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</si>
  <si>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</si>
  <si>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</si>
  <si>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</si>
  <si>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</si>
  <si>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</si>
  <si>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</si>
  <si>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</si>
  <si>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</si>
  <si>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</si>
  <si>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</si>
  <si>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</si>
  <si>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</si>
  <si>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</si>
  <si>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</si>
  <si>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</si>
  <si>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</si>
  <si>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</si>
  <si>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</si>
  <si>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</si>
  <si>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</si>
  <si>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</si>
  <si>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</si>
  <si>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</si>
  <si>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</si>
  <si>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</si>
  <si>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</si>
  <si>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</si>
  <si>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</si>
  <si>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</si>
  <si>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</si>
  <si>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</si>
  <si>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</si>
  <si>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</si>
  <si>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</si>
  <si>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</si>
  <si>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</si>
  <si>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</si>
  <si>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</si>
  <si>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</si>
  <si>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</si>
  <si>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</si>
  <si>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</si>
  <si>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</si>
  <si>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</si>
  <si>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</si>
  <si>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</si>
  <si>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</si>
  <si>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</si>
  <si>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</si>
  <si>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</si>
  <si>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</si>
  <si>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</si>
  <si>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</si>
  <si>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</si>
  <si>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</si>
  <si>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</si>
  <si>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</si>
  <si>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</si>
  <si>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</si>
  <si>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</si>
  <si>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</si>
  <si>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</si>
  <si>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</si>
  <si>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</si>
  <si>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</si>
  <si>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</si>
  <si>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</si>
  <si>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</si>
  <si>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</si>
  <si>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</si>
  <si>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</si>
  <si>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</si>
  <si>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</si>
  <si>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</si>
  <si>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</si>
  <si>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</si>
  <si>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</si>
  <si>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</si>
  <si>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</si>
  <si>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</si>
  <si>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</si>
  <si>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</si>
  <si>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</si>
  <si>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</si>
  <si>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</si>
  <si>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</si>
  <si>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</si>
  <si>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</si>
  <si>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</si>
  <si>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</si>
  <si>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</si>
  <si>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</si>
  <si>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</si>
  <si>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</si>
  <si>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</si>
  <si>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</si>
  <si>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</si>
  <si>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</si>
  <si>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</si>
  <si>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</si>
  <si>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</si>
  <si>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</si>
  <si>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</si>
  <si>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</si>
  <si>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</si>
  <si>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</si>
  <si>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</si>
  <si>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</si>
  <si>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</si>
  <si>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</si>
  <si>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</si>
  <si>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</si>
  <si>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</si>
  <si>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</si>
  <si>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</si>
  <si>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</si>
  <si>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</si>
  <si>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</si>
  <si>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</si>
  <si>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</si>
  <si>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</si>
  <si>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</si>
  <si>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</si>
  <si>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</si>
  <si>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</si>
  <si>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</si>
  <si>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</si>
  <si>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</si>
  <si>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</si>
  <si>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</si>
  <si>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</si>
  <si>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</si>
  <si>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</si>
  <si>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</si>
  <si>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</si>
  <si>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</si>
  <si>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</si>
  <si>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</si>
  <si>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</si>
  <si>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</si>
  <si>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</si>
  <si>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</si>
  <si>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</si>
  <si>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</si>
  <si>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</si>
  <si>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</si>
  <si>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</si>
  <si>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</si>
  <si>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</si>
  <si>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</si>
  <si>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</si>
  <si>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</si>
  <si>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</si>
  <si>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</si>
  <si>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</si>
  <si>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</si>
  <si>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</si>
  <si>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</si>
  <si>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</si>
  <si>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</si>
  <si>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</si>
  <si>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</si>
  <si>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</si>
  <si>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</si>
  <si>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</si>
  <si>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</si>
  <si>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</si>
  <si>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</si>
  <si>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</si>
  <si>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</si>
  <si>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</si>
  <si>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</si>
  <si>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</si>
  <si>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</si>
  <si>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</si>
  <si>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</si>
  <si>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</si>
  <si>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</si>
  <si>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</si>
  <si>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</si>
  <si>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</si>
  <si>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</si>
  <si>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</si>
  <si>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</si>
  <si>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</si>
  <si>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</si>
  <si>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</si>
  <si>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</si>
  <si>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</si>
  <si>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</si>
  <si>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</si>
  <si>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</si>
  <si>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</si>
  <si>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</si>
  <si>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</si>
  <si>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</si>
  <si>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</si>
  <si>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</si>
  <si>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</si>
  <si>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</si>
  <si>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</si>
  <si>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</si>
  <si>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</si>
  <si>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</si>
  <si>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</si>
  <si>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</si>
  <si>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</si>
  <si>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</si>
  <si>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</si>
  <si>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</si>
  <si>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</si>
  <si>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</si>
  <si>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</si>
  <si>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</si>
  <si>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</si>
  <si>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</si>
  <si>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</si>
  <si>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</si>
  <si>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</si>
  <si>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</si>
  <si>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</si>
  <si>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</si>
  <si>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</si>
  <si>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</si>
  <si>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</si>
  <si>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</si>
  <si>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</si>
  <si>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</si>
  <si>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</si>
  <si>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</si>
  <si>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</si>
  <si>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</si>
  <si>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</si>
  <si>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</si>
  <si>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</si>
  <si>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</si>
  <si>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</si>
  <si>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</si>
  <si>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</si>
  <si>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</si>
  <si>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</si>
  <si>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</si>
  <si>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</si>
  <si>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</si>
  <si>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</si>
  <si>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</si>
  <si>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</si>
  <si>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</si>
  <si>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</si>
  <si>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</si>
  <si>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</si>
  <si>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</si>
  <si>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</si>
  <si>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</si>
  <si>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</si>
  <si>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</si>
  <si>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</si>
  <si>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</si>
  <si>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</si>
  <si>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</si>
  <si>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</si>
  <si>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</si>
  <si>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</si>
  <si>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</si>
  <si>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</si>
  <si>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</si>
  <si>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</si>
  <si>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</si>
  <si>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</si>
  <si>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</si>
  <si>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</si>
  <si>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</si>
  <si>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</si>
  <si>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</si>
  <si>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</si>
  <si>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</si>
  <si>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</si>
  <si>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</si>
  <si>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</si>
  <si>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</si>
  <si>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</si>
  <si>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</si>
  <si>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</si>
  <si>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</si>
  <si>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</si>
  <si>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</si>
  <si>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</si>
  <si>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</si>
  <si>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</si>
  <si>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</si>
  <si>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</si>
  <si>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</si>
  <si>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</si>
  <si>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</si>
  <si>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</si>
  <si>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</si>
  <si>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</si>
  <si>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</si>
  <si>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</si>
  <si>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</si>
  <si>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</si>
  <si>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</si>
  <si>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</si>
  <si>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</si>
  <si>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</si>
  <si>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</si>
  <si>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</si>
  <si>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</si>
  <si>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</si>
  <si>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</si>
  <si>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</si>
  <si>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</si>
  <si>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</si>
  <si>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</si>
  <si>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</si>
  <si>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</si>
  <si>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</si>
  <si>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</si>
  <si>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</si>
  <si>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</si>
  <si>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</si>
  <si>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</si>
  <si>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</si>
  <si>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</si>
  <si>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</si>
  <si>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</si>
  <si>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</si>
  <si>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</si>
  <si>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</si>
  <si>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</si>
  <si>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</si>
  <si>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</si>
  <si>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</si>
  <si>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</si>
  <si>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</si>
  <si>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</si>
  <si>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</si>
  <si>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</si>
  <si>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</si>
  <si>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</si>
  <si>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</si>
  <si>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</si>
  <si>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</si>
  <si>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</si>
  <si>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</si>
  <si>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</si>
  <si>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</si>
  <si>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</si>
  <si>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</si>
  <si>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</si>
  <si>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</si>
  <si>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</si>
  <si>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</si>
  <si>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</si>
  <si>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</si>
  <si>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</si>
  <si>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</si>
  <si>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</si>
  <si>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</si>
  <si>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</si>
  <si>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</si>
  <si>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</si>
  <si>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</si>
  <si>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</si>
  <si>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</si>
  <si>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</si>
  <si>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</si>
  <si>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</si>
  <si>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</si>
  <si>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</si>
  <si>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</si>
  <si>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</si>
  <si>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</si>
  <si>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</si>
  <si>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</si>
  <si>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</si>
  <si>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</si>
  <si>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</si>
  <si>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</si>
  <si>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</si>
  <si>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</si>
  <si>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</si>
  <si>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</si>
  <si>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</si>
  <si>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</si>
  <si>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</si>
  <si>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</si>
  <si>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</si>
  <si>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</si>
  <si>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</si>
  <si>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</si>
  <si>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</si>
  <si>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</si>
  <si>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</si>
  <si>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</si>
  <si>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</si>
  <si>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</si>
  <si>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</si>
  <si>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</si>
  <si>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</si>
  <si>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</si>
  <si>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</si>
  <si>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</si>
  <si>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</si>
  <si>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</si>
  <si>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</si>
  <si>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</si>
  <si>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</si>
  <si>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</si>
  <si>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</si>
  <si>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</si>
  <si>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</si>
  <si>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</si>
  <si>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</si>
  <si>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</si>
  <si>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</si>
  <si>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</si>
  <si>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</si>
  <si>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</si>
  <si>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</si>
  <si>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</si>
  <si>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</si>
  <si>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</si>
  <si>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</si>
  <si>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</si>
  <si>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</si>
  <si>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</si>
  <si>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</si>
  <si>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</si>
  <si>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</si>
  <si>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</si>
  <si>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</si>
  <si>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</si>
  <si>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</si>
  <si>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</si>
  <si>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</si>
  <si>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</si>
  <si>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</si>
  <si>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</si>
  <si>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</si>
  <si>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</si>
  <si>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</si>
  <si>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</si>
  <si>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</si>
  <si>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</si>
  <si>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</si>
  <si>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</si>
  <si>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</si>
  <si>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</si>
  <si>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</si>
  <si>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</si>
  <si>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</si>
  <si>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</si>
  <si>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</si>
  <si>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</si>
  <si>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</si>
  <si>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</si>
  <si>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</si>
  <si>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</si>
  <si>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</si>
  <si>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</si>
  <si>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</si>
  <si>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</si>
  <si>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</si>
  <si>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</si>
  <si>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</si>
  <si>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</si>
  <si>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</si>
  <si>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</si>
  <si>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</si>
  <si>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</si>
  <si>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</si>
  <si>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</si>
  <si>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</si>
  <si>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</si>
  <si>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</si>
  <si>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</si>
  <si>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</si>
  <si>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</si>
  <si>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</si>
  <si>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</si>
  <si>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</si>
  <si>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</si>
  <si>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</si>
  <si>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</si>
  <si>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</si>
  <si>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</si>
  <si>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</si>
  <si>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</si>
  <si>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</si>
  <si>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</si>
  <si>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</si>
  <si>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</si>
  <si>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</si>
  <si>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</si>
  <si>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</si>
  <si>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</si>
  <si>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</si>
  <si>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</si>
  <si>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</si>
  <si>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</si>
  <si>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</si>
  <si>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</si>
  <si>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</si>
  <si>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</si>
  <si>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</si>
  <si>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</si>
  <si>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</si>
  <si>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</si>
  <si>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</si>
  <si>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</si>
  <si>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</si>
  <si>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</si>
  <si>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</si>
  <si>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</si>
  <si>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</si>
  <si>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</si>
  <si>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</si>
  <si>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</si>
  <si>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</si>
  <si>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</si>
  <si>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</si>
  <si>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</si>
  <si>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</si>
  <si>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</si>
  <si>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</si>
  <si>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</si>
  <si>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</si>
  <si>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</si>
  <si>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</si>
  <si>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</si>
  <si>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</si>
  <si>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</si>
  <si>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</si>
  <si>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</si>
  <si>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</si>
  <si>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</si>
  <si>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</si>
  <si>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</si>
  <si>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</si>
  <si>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</si>
  <si>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</si>
  <si>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</si>
  <si>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</si>
  <si>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</si>
  <si>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</si>
  <si>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</si>
  <si>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</si>
  <si>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</si>
  <si>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</si>
  <si>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</si>
  <si>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</si>
  <si>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</si>
  <si>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</si>
  <si>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</si>
  <si>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</si>
  <si>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</si>
  <si>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</si>
  <si>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</si>
  <si>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</si>
  <si>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</si>
  <si>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</si>
  <si>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</si>
  <si>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</si>
  <si>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</si>
  <si>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</si>
  <si>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</si>
  <si>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</si>
  <si>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</si>
  <si>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</si>
  <si>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</si>
  <si>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</si>
  <si>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</si>
  <si>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</si>
  <si>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</si>
  <si>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</si>
  <si>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</si>
  <si>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</si>
  <si>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</si>
  <si>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</si>
  <si>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</si>
  <si>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</si>
  <si>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</si>
  <si>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</si>
  <si>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</si>
  <si>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</si>
  <si>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</si>
  <si>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</si>
  <si>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</si>
  <si>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</si>
  <si>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</si>
  <si>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</si>
  <si>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</si>
  <si>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</si>
  <si>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</si>
  <si>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</si>
  <si>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</si>
  <si>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</si>
  <si>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</si>
  <si>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</si>
  <si>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</si>
  <si>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</si>
  <si>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</si>
  <si>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</si>
  <si>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</si>
  <si>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</si>
  <si>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</si>
  <si>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</si>
  <si>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</si>
  <si>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</si>
  <si>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</si>
  <si>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</si>
  <si>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</si>
  <si>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</si>
  <si>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</si>
  <si>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</si>
  <si>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</si>
  <si>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</si>
  <si>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</si>
  <si>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</si>
  <si>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</si>
  <si>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</si>
  <si>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</si>
  <si>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</si>
  <si>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</si>
  <si>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</si>
  <si>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</si>
  <si>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</si>
  <si>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</si>
  <si>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</si>
  <si>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</si>
  <si>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</si>
  <si>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</si>
  <si>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</si>
  <si>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</si>
  <si>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</si>
  <si>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</si>
  <si>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</si>
  <si>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</si>
  <si>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</si>
  <si>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</si>
  <si>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</si>
  <si>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</si>
  <si>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</si>
  <si>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</si>
  <si>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</si>
  <si>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</si>
  <si>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</si>
  <si>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</si>
  <si>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</si>
  <si>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</si>
  <si>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</si>
  <si>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</si>
  <si>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</si>
  <si>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</si>
  <si>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</si>
  <si>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</si>
  <si>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</si>
  <si>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</si>
  <si>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</si>
  <si>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</si>
  <si>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</si>
  <si>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</si>
  <si>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</si>
  <si>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</si>
  <si>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</si>
  <si>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</si>
  <si>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</si>
  <si>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</si>
  <si>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</si>
  <si>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</si>
  <si>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</si>
  <si>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</si>
  <si>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</si>
  <si>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</si>
  <si>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</si>
  <si>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</si>
  <si>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</si>
  <si>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</si>
  <si>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</si>
  <si>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</si>
  <si>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</si>
  <si>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</si>
  <si>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</si>
  <si>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</si>
  <si>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</si>
  <si>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</si>
  <si>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</si>
  <si>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</si>
  <si>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</si>
  <si>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</si>
  <si>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</si>
  <si>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</si>
  <si>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</si>
  <si>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</si>
  <si>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</si>
  <si>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</si>
  <si>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</si>
  <si>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</si>
  <si>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</si>
  <si>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</si>
  <si>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</si>
  <si>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</si>
  <si>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</si>
  <si>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</si>
  <si>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</si>
  <si>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</si>
  <si>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</si>
  <si>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</si>
  <si>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</si>
  <si>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</si>
  <si>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</si>
  <si>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</si>
  <si>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</si>
  <si>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</si>
  <si>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</si>
  <si>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</si>
  <si>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</si>
  <si>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</si>
  <si>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</si>
  <si>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</si>
  <si>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</si>
  <si>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</si>
  <si>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</si>
  <si>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</si>
  <si>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</si>
  <si>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</si>
  <si>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</si>
  <si>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</si>
  <si>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</si>
  <si>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</si>
  <si>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</si>
  <si>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</si>
  <si>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</si>
  <si>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</si>
  <si>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</si>
  <si>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</si>
  <si>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</si>
  <si>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</si>
  <si>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</si>
  <si>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</si>
  <si>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</si>
  <si>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</si>
  <si>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</si>
  <si>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</si>
  <si>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</si>
  <si>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</si>
  <si>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</si>
  <si>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</si>
  <si>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</si>
  <si>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</si>
  <si>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</si>
  <si>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</si>
  <si>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</si>
  <si>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</si>
  <si>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</si>
  <si>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</si>
  <si>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</si>
  <si>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</si>
  <si>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</si>
  <si>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</si>
  <si>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</si>
  <si>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</si>
  <si>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</si>
  <si>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</si>
  <si>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</si>
  <si>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</si>
  <si>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</si>
  <si>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</si>
  <si>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</si>
  <si>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</si>
  <si>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</si>
  <si>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</si>
  <si>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</si>
  <si>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</si>
  <si>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</si>
  <si>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</si>
  <si>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</si>
  <si>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</si>
  <si>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</si>
  <si>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</si>
  <si>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</si>
  <si>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</si>
  <si>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</si>
  <si>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</si>
  <si>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</si>
  <si>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</si>
  <si>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</si>
  <si>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</si>
  <si>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</si>
  <si>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</si>
  <si>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</si>
  <si>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</si>
  <si>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</si>
  <si>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</si>
  <si>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</si>
  <si>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</si>
  <si>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</si>
  <si>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</si>
  <si>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</si>
  <si>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</si>
  <si>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</si>
  <si>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</si>
  <si>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</si>
  <si>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</si>
  <si>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</si>
  <si>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</si>
  <si>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</si>
  <si>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</si>
  <si>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</si>
  <si>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</si>
  <si>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</si>
  <si>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</si>
  <si>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</si>
  <si>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</si>
  <si>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</si>
  <si>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</si>
  <si>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</si>
  <si>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</si>
  <si>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</si>
  <si>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</si>
  <si>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</si>
  <si>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</si>
  <si>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</si>
  <si>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</si>
  <si>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</si>
  <si>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</si>
  <si>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</si>
  <si>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</si>
  <si>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</si>
  <si>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</si>
  <si>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</si>
  <si>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</si>
  <si>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</si>
  <si>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</si>
  <si>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</si>
  <si>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</si>
  <si>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</si>
  <si>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</si>
  <si>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</si>
  <si>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</si>
  <si>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</si>
  <si>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</si>
  <si>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</si>
  <si>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</si>
  <si>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</si>
  <si>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</si>
  <si>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</si>
  <si>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</si>
  <si>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</si>
  <si>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</si>
  <si>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</si>
  <si>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</si>
  <si>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</si>
  <si>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</si>
  <si>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</si>
  <si>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</si>
  <si>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</si>
  <si>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</si>
  <si>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</si>
  <si>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</si>
  <si>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</si>
  <si>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</si>
  <si>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</si>
  <si>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</si>
  <si>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</si>
  <si>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</si>
  <si>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</si>
  <si>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</si>
  <si>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</si>
  <si>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</si>
  <si>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</si>
  <si>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</si>
  <si>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</si>
  <si>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</si>
  <si>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</si>
  <si>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</si>
  <si>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</si>
  <si>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</si>
  <si>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</si>
  <si>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</si>
  <si>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</si>
  <si>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</si>
  <si>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</si>
  <si>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</si>
  <si>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</si>
  <si>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</si>
  <si>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</si>
  <si>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</si>
  <si>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</si>
  <si>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</si>
  <si>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</si>
  <si>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</si>
  <si>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</si>
  <si>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</si>
  <si>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</si>
  <si>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</si>
  <si>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</si>
  <si>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</si>
  <si>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</si>
  <si>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</si>
  <si>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</si>
  <si>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</si>
  <si>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</si>
  <si>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</si>
  <si>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</si>
  <si>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</si>
  <si>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</si>
  <si>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</si>
  <si>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</si>
  <si>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</si>
  <si>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</si>
  <si>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</si>
  <si>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</si>
  <si>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</si>
  <si>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</si>
  <si>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</si>
  <si>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</si>
  <si>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</si>
  <si>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</si>
  <si>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</si>
  <si>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</si>
  <si>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</si>
  <si>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</si>
  <si>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</si>
  <si>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</si>
  <si>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</si>
  <si>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</si>
  <si>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</si>
  <si>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</si>
  <si>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</si>
  <si>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</si>
  <si>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</si>
  <si>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</si>
  <si>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</si>
  <si>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</si>
  <si>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</si>
  <si>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</si>
  <si>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</si>
  <si>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</si>
  <si>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</si>
  <si>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</si>
  <si>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</si>
  <si>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</si>
  <si>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</si>
  <si>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</si>
  <si>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</si>
  <si>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</si>
  <si>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</si>
  <si>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</si>
  <si>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</si>
  <si>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</si>
  <si>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</si>
  <si>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</si>
  <si>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</si>
  <si>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</si>
  <si>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</si>
  <si>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</si>
  <si>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</si>
  <si>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</si>
  <si>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</si>
  <si>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</si>
  <si>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</si>
  <si>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</si>
  <si>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</si>
  <si>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</si>
  <si>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</si>
  <si>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</si>
  <si>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</si>
  <si>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</si>
  <si>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</si>
  <si>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</si>
  <si>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</si>
  <si>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</si>
  <si>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</si>
  <si>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</si>
  <si>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</si>
  <si>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</si>
  <si>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</si>
  <si>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</si>
  <si>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</si>
  <si>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</si>
  <si>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</si>
  <si>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</si>
  <si>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</si>
  <si>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</si>
  <si>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</si>
  <si>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</si>
  <si>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</si>
  <si>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</si>
  <si>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</si>
  <si>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</si>
  <si>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</si>
  <si>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</si>
  <si>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</si>
  <si>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</si>
  <si>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</si>
  <si>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</si>
  <si>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</si>
  <si>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</si>
  <si>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</si>
  <si>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</si>
  <si>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</si>
  <si>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</si>
  <si>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</si>
  <si>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</si>
  <si>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</si>
  <si>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</si>
  <si>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</si>
  <si>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</si>
  <si>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</si>
  <si>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</si>
  <si>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</si>
  <si>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</si>
  <si>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</si>
  <si>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</si>
  <si>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</si>
  <si>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</si>
  <si>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</si>
  <si>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</si>
  <si>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</si>
  <si>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</si>
  <si>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</si>
  <si>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</si>
  <si>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</si>
  <si>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</si>
  <si>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</si>
  <si>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</si>
  <si>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</si>
  <si>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</si>
  <si>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</si>
  <si>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</si>
  <si>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</si>
  <si>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</si>
  <si>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</si>
  <si>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</si>
  <si>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</si>
  <si>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</si>
  <si>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</si>
  <si>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</si>
  <si>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</si>
  <si>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</si>
  <si>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</si>
  <si>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</si>
  <si>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</si>
  <si>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</si>
  <si>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</si>
  <si>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</si>
  <si>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</si>
  <si>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</si>
  <si>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</si>
  <si>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</si>
  <si>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</si>
  <si>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</si>
  <si>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</si>
  <si>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</si>
  <si>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</si>
  <si>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</si>
  <si>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</si>
  <si>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</si>
  <si>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</si>
  <si>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</si>
  <si>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</si>
  <si>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</si>
  <si>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</si>
  <si>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</si>
  <si>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</si>
  <si>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</si>
  <si>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</si>
  <si>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</si>
  <si>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</si>
  <si>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</si>
  <si>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</si>
  <si>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</si>
  <si>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</si>
  <si>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</si>
  <si>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</si>
  <si>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</si>
  <si>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</si>
  <si>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</si>
  <si>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</si>
  <si>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</si>
  <si>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</si>
  <si>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</si>
  <si>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</si>
  <si>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</si>
  <si>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</si>
  <si>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</si>
  <si>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</si>
  <si>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</si>
  <si>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</si>
  <si>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</si>
  <si>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</si>
  <si>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</si>
  <si>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</si>
  <si>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</si>
  <si>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</si>
  <si>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</si>
  <si>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</si>
  <si>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</si>
  <si>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</si>
  <si>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</si>
  <si>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</si>
  <si>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</si>
  <si>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</si>
  <si>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</si>
  <si>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</si>
  <si>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</si>
  <si>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</si>
  <si>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</si>
  <si>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</si>
  <si>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</si>
  <si>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</si>
  <si>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</si>
  <si>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</si>
  <si>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</si>
  <si>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</si>
  <si>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</si>
  <si>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</si>
  <si>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</si>
  <si>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</si>
  <si>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</si>
  <si>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</si>
  <si>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</si>
  <si>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</si>
  <si>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</si>
  <si>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</si>
  <si>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</si>
  <si>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</si>
  <si>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</si>
  <si>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</si>
  <si>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</si>
  <si>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</si>
  <si>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</si>
  <si>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</si>
  <si>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</si>
  <si>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</si>
  <si>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</si>
  <si>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</si>
  <si>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</si>
  <si>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</si>
  <si>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</si>
  <si>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</si>
  <si>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</si>
  <si>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</si>
  <si>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</si>
  <si>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</si>
  <si>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</si>
  <si>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</si>
  <si>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</si>
  <si>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</si>
  <si>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</si>
  <si>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</si>
  <si>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</si>
  <si>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</si>
  <si>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</si>
  <si>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</si>
  <si>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</si>
  <si>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</si>
  <si>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</si>
  <si>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</si>
  <si>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</si>
  <si>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</si>
  <si>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</si>
  <si>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</si>
  <si>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</si>
  <si>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</si>
  <si>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</si>
  <si>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</si>
  <si>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</si>
  <si>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</si>
  <si>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</si>
  <si>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</si>
  <si>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</si>
  <si>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</si>
  <si>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</si>
  <si>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</si>
  <si>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</si>
  <si>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</si>
  <si>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</si>
  <si>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</si>
  <si>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</si>
  <si>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</si>
  <si>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</si>
  <si>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</si>
  <si>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</si>
  <si>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</si>
  <si>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</si>
  <si>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</si>
  <si>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</si>
  <si>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</si>
  <si>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</si>
  <si>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</si>
  <si>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</si>
  <si>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</si>
  <si>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</si>
  <si>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</si>
  <si>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</si>
  <si>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</si>
  <si>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</si>
  <si>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</si>
  <si>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</si>
  <si>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</si>
  <si>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</si>
  <si>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</si>
  <si>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</si>
  <si>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</si>
  <si>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</si>
  <si>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</si>
  <si>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</si>
  <si>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</si>
  <si>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</si>
  <si>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</si>
  <si>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</si>
  <si>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</si>
  <si>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</si>
  <si>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</si>
  <si>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</si>
  <si>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</si>
  <si>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</si>
  <si>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</si>
  <si>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</si>
  <si>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</si>
  <si>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</si>
  <si>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</si>
  <si>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</si>
  <si>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</si>
  <si>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</si>
  <si>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</si>
  <si>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</si>
  <si>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</si>
  <si>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</si>
  <si>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</si>
  <si>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</si>
  <si>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</si>
  <si>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</si>
  <si>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</si>
  <si>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</si>
  <si>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</si>
  <si>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</si>
  <si>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</si>
  <si>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</si>
  <si>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</si>
  <si>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</si>
  <si>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</si>
  <si>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</si>
  <si>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</si>
  <si>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</si>
  <si>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</si>
  <si>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</si>
  <si>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</si>
  <si>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</si>
  <si>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</si>
  <si>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</si>
  <si>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</si>
  <si>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</si>
  <si>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</si>
  <si>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</si>
  <si>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</si>
  <si>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</si>
  <si>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</si>
  <si>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</si>
  <si>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</si>
  <si>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</si>
  <si>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</si>
  <si>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</si>
  <si>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</si>
  <si>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</si>
  <si>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</si>
  <si>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</si>
  <si>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</si>
  <si>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</si>
  <si>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</si>
  <si>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</si>
  <si>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</si>
  <si>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</si>
  <si>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</si>
  <si>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</si>
  <si>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</si>
  <si>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</si>
  <si>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</si>
  <si>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</si>
  <si>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</si>
  <si>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</si>
  <si>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</si>
  <si>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</si>
  <si>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</si>
  <si>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</si>
  <si>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</si>
  <si>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</si>
  <si>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</si>
  <si>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</si>
  <si>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</si>
  <si>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</si>
  <si>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</si>
  <si>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</si>
  <si>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</si>
  <si>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</si>
  <si>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</si>
  <si>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</si>
  <si>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</si>
  <si>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</si>
  <si>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</si>
  <si>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</si>
  <si>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</si>
  <si>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</si>
  <si>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</si>
  <si>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</si>
  <si>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</si>
  <si>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</si>
  <si>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</si>
  <si>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</si>
  <si>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</si>
  <si>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</si>
  <si>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</si>
  <si>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</si>
  <si>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</si>
  <si>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</si>
  <si>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</si>
  <si>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</si>
  <si>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</si>
  <si>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</si>
  <si>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</si>
  <si>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</si>
  <si>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</si>
  <si>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</si>
  <si>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</si>
  <si>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</si>
  <si>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</si>
  <si>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</si>
  <si>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</si>
  <si>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</si>
  <si>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</si>
  <si>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</si>
  <si>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</si>
  <si>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</si>
  <si>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</si>
  <si>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</si>
  <si>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</si>
  <si>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</si>
  <si>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</si>
  <si>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</si>
  <si>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</si>
  <si>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</si>
  <si>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</si>
  <si>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</si>
  <si>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</si>
  <si>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</si>
  <si>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</si>
  <si>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</si>
  <si>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</si>
  <si>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</si>
  <si>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</si>
  <si>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</si>
  <si>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</si>
  <si>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</si>
  <si>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</si>
  <si>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</si>
  <si>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</si>
  <si>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</si>
  <si>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</si>
  <si>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</si>
  <si>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</si>
  <si>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</si>
  <si>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</si>
  <si>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</si>
  <si>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</si>
  <si>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</si>
  <si>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</si>
  <si>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</si>
  <si>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</si>
  <si>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</si>
  <si>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</si>
  <si>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</si>
  <si>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</si>
  <si>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</si>
  <si>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</si>
  <si>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</si>
  <si>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</si>
  <si>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</si>
  <si>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</si>
  <si>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</si>
  <si>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</si>
  <si>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</si>
  <si>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</si>
  <si>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</si>
  <si>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</si>
  <si>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</si>
  <si>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</si>
  <si>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</si>
  <si>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</si>
  <si>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</si>
  <si>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</si>
  <si>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</si>
  <si>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</si>
  <si>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</si>
  <si>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</si>
  <si>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</si>
  <si>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</si>
  <si>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</si>
  <si>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</si>
  <si>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</si>
  <si>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</si>
  <si>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</si>
  <si>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</si>
  <si>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</si>
  <si>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</si>
  <si>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</si>
  <si>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</si>
  <si>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</si>
  <si>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</si>
  <si>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</si>
  <si>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</si>
  <si>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</si>
  <si>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</si>
  <si>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</si>
  <si>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</si>
  <si>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</si>
  <si>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</si>
  <si>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</si>
  <si>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</si>
  <si>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</si>
  <si>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</si>
  <si>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</si>
  <si>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</si>
  <si>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</si>
  <si>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</si>
  <si>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</si>
  <si>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</si>
  <si>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</si>
  <si>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</si>
  <si>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</si>
  <si>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</si>
  <si>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</si>
  <si>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</si>
  <si>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</si>
  <si>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</si>
  <si>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</si>
  <si>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</si>
  <si>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</si>
  <si>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</si>
  <si>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</si>
  <si>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</si>
  <si>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</si>
  <si>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</si>
  <si>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</si>
  <si>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</si>
  <si>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</si>
  <si>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</si>
  <si>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</si>
  <si>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</si>
  <si>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</si>
  <si>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</si>
  <si>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</si>
  <si>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</si>
  <si>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</si>
  <si>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</si>
  <si>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</si>
  <si>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</si>
  <si>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</si>
  <si>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</si>
  <si>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</si>
  <si>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</si>
  <si>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</si>
  <si>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</si>
  <si>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</si>
  <si>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</si>
  <si>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</si>
  <si>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</si>
  <si>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</si>
  <si>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</si>
  <si>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</si>
  <si>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</si>
  <si>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</si>
  <si>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</si>
  <si>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</si>
  <si>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</si>
  <si>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</si>
  <si>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</si>
  <si>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</si>
  <si>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</si>
  <si>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</si>
  <si>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</si>
  <si>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</si>
  <si>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</si>
  <si>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</si>
  <si>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</si>
  <si>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</si>
  <si>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</si>
  <si>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</si>
  <si>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</si>
  <si>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</si>
  <si>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</si>
  <si>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</si>
  <si>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</si>
  <si>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</si>
  <si>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</si>
  <si>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</si>
  <si>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</si>
  <si>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</si>
  <si>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</si>
  <si>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</si>
  <si>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</si>
  <si>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</si>
  <si>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</si>
  <si>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</si>
  <si>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</si>
  <si>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</si>
  <si>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</si>
  <si>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</si>
  <si>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</si>
  <si>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</si>
  <si>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</si>
  <si>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</si>
  <si>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</si>
  <si>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</si>
  <si>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</si>
  <si>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</si>
  <si>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</si>
  <si>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</si>
  <si>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</si>
  <si>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</si>
  <si>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</si>
  <si>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</si>
  <si>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</si>
  <si>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</si>
  <si>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</si>
  <si>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</si>
  <si>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</si>
  <si>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</si>
  <si>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</si>
  <si>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</si>
  <si>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</si>
  <si>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</si>
  <si>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</si>
  <si>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</si>
  <si>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</si>
  <si>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</si>
  <si>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</si>
  <si>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</si>
  <si>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</si>
  <si>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</si>
  <si>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</si>
  <si>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</si>
  <si>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</si>
  <si>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</si>
  <si>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</si>
  <si>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</si>
  <si>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</si>
  <si>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</si>
  <si>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</si>
  <si>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</si>
  <si>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</si>
  <si>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</si>
  <si>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</si>
  <si>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</si>
  <si>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</si>
  <si>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</si>
  <si>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</si>
  <si>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</si>
  <si>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</si>
  <si>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</si>
  <si>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</si>
  <si>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</si>
  <si>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</si>
  <si>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</si>
  <si>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</si>
  <si>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</si>
  <si>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</si>
  <si>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</si>
  <si>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</si>
  <si>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</si>
  <si>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</si>
  <si>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</si>
  <si>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</si>
  <si>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</si>
  <si>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</si>
  <si>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</si>
  <si>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</si>
  <si>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</si>
  <si>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</si>
  <si>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</si>
  <si>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</si>
  <si>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</si>
  <si>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</si>
  <si>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</si>
  <si>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</si>
  <si>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</si>
  <si>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</si>
  <si>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</si>
  <si>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</si>
  <si>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</si>
  <si>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</si>
  <si>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</si>
  <si>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</si>
  <si>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</si>
  <si>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</si>
  <si>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</si>
  <si>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</si>
  <si>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</si>
  <si>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</si>
  <si>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</si>
  <si>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</si>
  <si>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</si>
  <si>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</si>
  <si>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</si>
  <si>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</si>
  <si>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</si>
  <si>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</si>
  <si>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</si>
  <si>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</si>
  <si>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</si>
  <si>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</si>
  <si>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</si>
  <si>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</si>
  <si>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</si>
  <si>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</si>
  <si>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</si>
  <si>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</si>
  <si>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</si>
  <si>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</si>
  <si>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</si>
  <si>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</si>
  <si>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</si>
  <si>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</si>
  <si>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</si>
  <si>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</si>
  <si>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</si>
  <si>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</si>
  <si>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</si>
  <si>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</si>
  <si>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</si>
  <si>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</si>
  <si>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</si>
  <si>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</si>
  <si>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</si>
  <si>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</si>
  <si>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</si>
  <si>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</si>
  <si>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</si>
  <si>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</si>
  <si>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</si>
  <si>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</si>
  <si>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</si>
  <si>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</si>
  <si>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</si>
  <si>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</si>
  <si>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</si>
  <si>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</si>
  <si>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</si>
  <si>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</si>
  <si>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</si>
  <si>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</si>
  <si>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</si>
  <si>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</si>
  <si>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</si>
  <si>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</si>
  <si>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</si>
  <si>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</si>
  <si>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</si>
  <si>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</si>
  <si>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</si>
  <si>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</si>
  <si>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</si>
  <si>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</si>
  <si>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</si>
  <si>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</si>
  <si>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</si>
  <si>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</si>
  <si>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</si>
  <si>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</si>
  <si>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</si>
  <si>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</si>
  <si>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</si>
  <si>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</si>
  <si>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</si>
  <si>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</si>
  <si>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</si>
  <si>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</si>
  <si>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</si>
  <si>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</si>
  <si>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</si>
  <si>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</si>
  <si>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</si>
  <si>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</si>
  <si>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</si>
  <si>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</si>
  <si>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</si>
  <si>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</si>
  <si>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</si>
  <si>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</si>
  <si>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</si>
  <si>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</si>
  <si>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</si>
  <si>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</si>
  <si>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</si>
  <si>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</si>
  <si>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</si>
  <si>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</si>
  <si>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</si>
  <si>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</si>
  <si>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</si>
  <si>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</si>
  <si>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</si>
  <si>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</si>
  <si>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</si>
  <si>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</si>
  <si>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</si>
  <si>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</si>
  <si>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</si>
  <si>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</si>
  <si>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</si>
  <si>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</si>
  <si>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</si>
  <si>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</si>
  <si>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</si>
  <si>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</si>
  <si>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</si>
  <si>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</si>
  <si>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</si>
  <si>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</si>
  <si>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</si>
  <si>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</si>
  <si>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</si>
  <si>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</si>
  <si>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</si>
  <si>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</si>
  <si>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</si>
  <si>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</si>
  <si>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</si>
  <si>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</si>
  <si>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</si>
  <si>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</si>
  <si>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</si>
  <si>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</si>
  <si>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</si>
  <si>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</si>
  <si>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</si>
  <si>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</si>
  <si>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</si>
  <si>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</si>
  <si>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</si>
  <si>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</si>
  <si>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</si>
  <si>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</si>
  <si>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</si>
  <si>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</si>
  <si>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</si>
  <si>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</si>
  <si>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</si>
  <si>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</si>
  <si>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</si>
  <si>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</si>
  <si>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</si>
  <si>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</si>
  <si>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</si>
  <si>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</si>
  <si>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</si>
  <si>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</si>
  <si>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</si>
  <si>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</si>
  <si>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</si>
  <si>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</si>
  <si>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</si>
  <si>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</si>
  <si>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</si>
  <si>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</si>
  <si>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</si>
  <si>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</si>
  <si>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</si>
  <si>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</si>
  <si>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</si>
  <si>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</si>
  <si>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</si>
  <si>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</si>
  <si>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</si>
  <si>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</si>
  <si>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</si>
  <si>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</si>
  <si>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</si>
  <si>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</si>
  <si>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</si>
  <si>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</si>
  <si>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</si>
  <si>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</si>
  <si>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</si>
  <si>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</si>
  <si>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</si>
  <si>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</si>
  <si>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</si>
  <si>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</si>
  <si>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</si>
  <si>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</si>
  <si>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</si>
  <si>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</si>
  <si>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</si>
  <si>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</si>
  <si>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</si>
  <si>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</si>
  <si>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</si>
  <si>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</si>
  <si>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</si>
  <si>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</si>
  <si>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</si>
  <si>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</si>
  <si>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</si>
  <si>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</si>
  <si>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</si>
  <si>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</si>
  <si>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</si>
  <si>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</si>
  <si>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</si>
  <si>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</si>
  <si>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</si>
  <si>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</si>
  <si>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</si>
  <si>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</si>
  <si>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</si>
  <si>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</si>
  <si>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</si>
  <si>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</si>
  <si>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</si>
  <si>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</si>
  <si>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</si>
  <si>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</si>
  <si>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</si>
  <si>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</si>
  <si>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</si>
  <si>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</si>
  <si>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</si>
  <si>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</si>
  <si>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</si>
  <si>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</si>
  <si>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</si>
  <si>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</si>
  <si>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</si>
  <si>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</si>
  <si>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</si>
  <si>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</si>
  <si>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</si>
  <si>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</si>
  <si>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</si>
  <si>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</si>
  <si>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</si>
  <si>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</si>
  <si>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</si>
  <si>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</si>
  <si>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</si>
  <si>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</si>
  <si>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</si>
  <si>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</si>
  <si>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</si>
  <si>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</si>
  <si>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</si>
  <si>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</si>
  <si>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</si>
  <si>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</si>
  <si>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</si>
  <si>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</si>
  <si>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</si>
  <si>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</si>
  <si>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</si>
  <si>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</si>
  <si>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</si>
  <si>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</si>
  <si>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</si>
  <si>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</si>
  <si>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</si>
  <si>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</si>
  <si>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</si>
  <si>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</si>
  <si>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</si>
  <si>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</si>
  <si>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</si>
  <si>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</si>
  <si>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</si>
  <si>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</si>
  <si>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</si>
  <si>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</si>
  <si>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</si>
  <si>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</si>
  <si>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</si>
  <si>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</si>
  <si>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</si>
  <si>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</si>
  <si>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</si>
  <si>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</si>
  <si>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</si>
  <si>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</si>
  <si>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</si>
  <si>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</si>
  <si>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</si>
  <si>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</si>
  <si>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</si>
  <si>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</si>
  <si>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</si>
  <si>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</si>
  <si>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</si>
  <si>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</si>
  <si>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</si>
  <si>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</si>
  <si>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</si>
  <si>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</si>
  <si>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</si>
  <si>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</si>
  <si>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</si>
  <si>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</si>
  <si>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</si>
  <si>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</si>
  <si>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</si>
  <si>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</si>
  <si>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</si>
  <si>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</si>
  <si>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</si>
  <si>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</si>
  <si>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</si>
  <si>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</si>
  <si>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</si>
  <si>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</si>
  <si>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</si>
  <si>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</si>
  <si>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</si>
  <si>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</si>
  <si>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</si>
  <si>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</si>
  <si>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</si>
  <si>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</si>
  <si>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</si>
  <si>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</si>
  <si>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</si>
  <si>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</si>
  <si>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</si>
  <si>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</si>
  <si>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</si>
  <si>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</si>
  <si>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</si>
  <si>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</si>
  <si>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</si>
  <si>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</si>
  <si>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</si>
  <si>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</si>
  <si>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</si>
  <si>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</si>
  <si>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</si>
  <si>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</si>
  <si>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</si>
  <si>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</si>
  <si>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</si>
  <si>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</si>
  <si>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</si>
  <si>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</si>
  <si>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</si>
  <si>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</si>
  <si>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</si>
  <si>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</si>
  <si>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</si>
  <si>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</si>
  <si>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</si>
  <si>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</si>
  <si>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</si>
  <si>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</si>
  <si>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</si>
  <si>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</si>
  <si>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</si>
  <si>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</si>
  <si>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</si>
  <si>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</si>
  <si>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</si>
  <si>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</si>
  <si>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</si>
  <si>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</si>
  <si>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</si>
  <si>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</si>
  <si>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</si>
  <si>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</si>
  <si>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</si>
  <si>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</si>
  <si>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</si>
  <si>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</si>
  <si>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</si>
  <si>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</si>
  <si>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</si>
  <si>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</si>
  <si>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</si>
  <si>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</si>
  <si>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</si>
  <si>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</si>
  <si>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</si>
  <si>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</si>
  <si>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</si>
  <si>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</si>
  <si>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</si>
  <si>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</si>
  <si>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</si>
  <si>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</si>
  <si>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</si>
  <si>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</si>
  <si>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</si>
  <si>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</si>
  <si>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</si>
  <si>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</si>
  <si>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</si>
  <si>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</si>
  <si>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</si>
  <si>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</si>
  <si>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</si>
  <si>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</si>
  <si>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</si>
  <si>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</si>
  <si>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</si>
  <si>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</si>
  <si>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</si>
  <si>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</si>
  <si>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</si>
  <si>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</si>
  <si>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</si>
  <si>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</si>
  <si>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</si>
  <si>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</si>
  <si>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</si>
  <si>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</si>
  <si>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</si>
  <si>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</si>
  <si>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</si>
  <si>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</si>
  <si>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</si>
  <si>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</si>
  <si>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</si>
  <si>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</si>
  <si>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</si>
  <si>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</si>
  <si>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</si>
  <si>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</si>
  <si>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</si>
  <si>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</si>
  <si>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</si>
  <si>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</si>
  <si>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</si>
  <si>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</si>
  <si>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</si>
  <si>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</si>
  <si>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</si>
  <si>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</si>
  <si>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</si>
  <si>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</si>
  <si>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</si>
  <si>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</si>
  <si>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</si>
  <si>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</si>
  <si>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</si>
  <si>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</si>
  <si>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</si>
  <si>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</si>
  <si>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</si>
  <si>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</si>
  <si>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</si>
  <si>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</si>
  <si>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</si>
  <si>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</si>
  <si>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</si>
  <si>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</si>
  <si>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</si>
  <si>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</si>
  <si>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</si>
  <si>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</si>
  <si>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</si>
  <si>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</si>
  <si>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</si>
  <si>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</si>
  <si>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</si>
  <si>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</si>
  <si>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</si>
  <si>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</si>
  <si>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</si>
  <si>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</si>
  <si>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</si>
  <si>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</si>
  <si>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</si>
  <si>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</si>
  <si>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</si>
  <si>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</si>
  <si>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</si>
  <si>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</si>
  <si>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</si>
  <si>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</si>
  <si>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</si>
  <si>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</si>
  <si>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</si>
  <si>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</si>
  <si>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</si>
  <si>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</si>
  <si>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</si>
  <si>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</si>
  <si>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</si>
  <si>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</si>
  <si>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</si>
  <si>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</si>
  <si>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</si>
  <si>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</si>
  <si>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</si>
  <si>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</si>
  <si>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</si>
  <si>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</si>
  <si>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</si>
  <si>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</si>
  <si>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</si>
  <si>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</si>
  <si>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</si>
  <si>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</si>
  <si>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</si>
  <si>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</si>
  <si>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</si>
  <si>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</si>
  <si>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</si>
  <si>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</si>
  <si>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</si>
  <si>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</si>
  <si>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</si>
  <si>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</si>
  <si>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</si>
  <si>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</si>
  <si>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</si>
  <si>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</si>
  <si>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</si>
  <si>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</si>
  <si>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</si>
  <si>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</si>
  <si>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</si>
  <si>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</si>
  <si>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</si>
  <si>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</si>
  <si>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</si>
  <si>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</si>
  <si>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</si>
  <si>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</si>
  <si>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</si>
  <si>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</si>
  <si>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</si>
  <si>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</si>
  <si>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</si>
  <si>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</si>
  <si>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</si>
  <si>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</si>
  <si>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</si>
  <si>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</si>
  <si>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</si>
  <si>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</si>
  <si>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</si>
  <si>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</si>
  <si>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</si>
  <si>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</si>
  <si>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</si>
  <si>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</si>
  <si>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</si>
  <si>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</si>
  <si>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</si>
  <si>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</si>
  <si>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</si>
  <si>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</si>
  <si>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</si>
  <si>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</si>
  <si>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</si>
  <si>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</si>
  <si>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</si>
  <si>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</si>
  <si>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</si>
  <si>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</si>
  <si>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</si>
  <si>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</si>
  <si>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</si>
  <si>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</si>
  <si>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</si>
  <si>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</si>
  <si>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</si>
  <si>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</si>
  <si>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</si>
  <si>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</si>
  <si>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</si>
  <si>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</si>
  <si>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</si>
  <si>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</si>
  <si>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</si>
  <si>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</si>
  <si>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</si>
  <si>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</si>
  <si>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</si>
  <si>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</si>
  <si>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</si>
  <si>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</si>
  <si>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</si>
  <si>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</si>
  <si>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</si>
  <si>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</si>
  <si>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</si>
  <si>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</si>
  <si>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</si>
  <si>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</si>
  <si>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</si>
  <si>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</si>
  <si>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</si>
  <si>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</si>
  <si>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</si>
  <si>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</si>
  <si>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</si>
  <si>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</si>
  <si>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</si>
  <si>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</si>
  <si>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</si>
  <si>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</si>
  <si>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</si>
  <si>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</si>
  <si>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</si>
  <si>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</si>
  <si>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</si>
  <si>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</si>
  <si>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</si>
  <si>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</si>
  <si>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</si>
  <si>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</si>
  <si>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</si>
  <si>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</si>
  <si>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</si>
  <si>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</si>
  <si>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</si>
  <si>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</si>
  <si>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</si>
  <si>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</si>
  <si>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</si>
  <si>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</si>
  <si>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</si>
  <si>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</si>
  <si>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</si>
  <si>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</si>
  <si>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</si>
  <si>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</si>
  <si>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</si>
  <si>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</si>
  <si>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</si>
  <si>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</si>
  <si>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</si>
  <si>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</si>
  <si>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</si>
  <si>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</si>
  <si>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</si>
  <si>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</si>
  <si>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</si>
  <si>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</si>
  <si>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</si>
  <si>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</si>
  <si>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</si>
  <si>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</si>
  <si>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</si>
  <si>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</si>
  <si>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</si>
  <si>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</si>
  <si>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</si>
  <si>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</si>
  <si>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</si>
  <si>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</si>
  <si>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</si>
  <si>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</si>
  <si>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</si>
  <si>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</si>
  <si>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</si>
  <si>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</si>
  <si>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</si>
  <si>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</si>
  <si>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</si>
  <si>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</si>
  <si>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</si>
  <si>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</si>
  <si>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</si>
  <si>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</si>
  <si>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</si>
  <si>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</si>
  <si>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</si>
  <si>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</si>
  <si>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</si>
  <si>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</si>
  <si>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</si>
  <si>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</si>
  <si>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</si>
  <si>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</si>
  <si>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</si>
  <si>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</si>
  <si>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</si>
  <si>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</si>
  <si>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</si>
  <si>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</si>
  <si>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</si>
  <si>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</si>
  <si>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</si>
  <si>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</si>
  <si>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</si>
  <si>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</si>
  <si>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</si>
  <si>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</si>
  <si>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</si>
  <si>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</si>
  <si>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</si>
  <si>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</si>
  <si>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</si>
  <si>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</si>
  <si>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</si>
  <si>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</si>
  <si>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</si>
  <si>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</si>
  <si>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</si>
  <si>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</si>
  <si>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</si>
  <si>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</si>
  <si>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</si>
  <si>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</si>
  <si>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</si>
  <si>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</si>
  <si>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</si>
  <si>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</si>
  <si>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</si>
  <si>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</si>
  <si>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</si>
  <si>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</si>
  <si>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</si>
  <si>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</si>
  <si>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</si>
  <si>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</si>
  <si>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</si>
  <si>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</si>
  <si>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</si>
  <si>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</si>
  <si>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</si>
  <si>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</si>
  <si>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</si>
  <si>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</si>
  <si>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</si>
  <si>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</si>
  <si>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</si>
  <si>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</si>
  <si>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</si>
  <si>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</si>
  <si>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</si>
  <si>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</si>
  <si>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</si>
  <si>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</si>
  <si>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</si>
  <si>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</si>
  <si>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</si>
  <si>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</si>
  <si>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</si>
  <si>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</si>
  <si>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</si>
  <si>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</si>
  <si>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</si>
  <si>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</si>
  <si>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</si>
  <si>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</si>
  <si>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</si>
  <si>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</si>
  <si>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</si>
  <si>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</si>
  <si>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</si>
  <si>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</si>
  <si>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</si>
  <si>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</si>
  <si>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</si>
  <si>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</si>
  <si>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</si>
  <si>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</si>
  <si>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</si>
  <si>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</si>
  <si>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</si>
  <si>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</si>
  <si>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</si>
  <si>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</si>
  <si>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</si>
  <si>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</si>
  <si>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</si>
  <si>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</si>
  <si>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</si>
  <si>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</si>
  <si>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</si>
  <si>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</si>
  <si>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</si>
  <si>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</si>
  <si>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</si>
  <si>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</si>
  <si>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</si>
  <si>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</si>
  <si>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</si>
  <si>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</si>
  <si>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</si>
  <si>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</si>
  <si>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</si>
  <si>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</si>
  <si>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</si>
  <si>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</si>
  <si>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</si>
  <si>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</si>
  <si>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</si>
  <si>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</si>
  <si>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</si>
  <si>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</si>
  <si>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</si>
  <si>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</si>
  <si>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</si>
  <si>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</si>
  <si>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</si>
  <si>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</si>
  <si>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</si>
  <si>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</si>
  <si>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</si>
  <si>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</si>
  <si>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</si>
  <si>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</si>
  <si>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</si>
  <si>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</si>
  <si>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</si>
  <si>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</si>
  <si>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</si>
  <si>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</si>
  <si>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</si>
  <si>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</si>
  <si>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</si>
  <si>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</si>
  <si>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</si>
  <si>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</si>
  <si>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</si>
  <si>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</si>
  <si>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</si>
  <si>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</si>
  <si>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</si>
  <si>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</si>
  <si>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</si>
  <si>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</si>
  <si>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</si>
  <si>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</si>
  <si>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</si>
  <si>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</si>
  <si>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</si>
  <si>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</si>
  <si>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</si>
  <si>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</si>
  <si>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</si>
  <si>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</si>
  <si>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</si>
  <si>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</si>
  <si>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</si>
  <si>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</si>
  <si>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</si>
  <si>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</si>
  <si>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</si>
  <si>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</si>
  <si>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</si>
  <si>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</si>
  <si>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</si>
  <si>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</si>
  <si>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</si>
  <si>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</si>
  <si>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</si>
  <si>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</si>
  <si>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</si>
  <si>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</si>
  <si>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</si>
  <si>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</si>
  <si>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</si>
  <si>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</si>
  <si>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</si>
  <si>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</si>
  <si>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</si>
  <si>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</si>
  <si>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</si>
  <si>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</si>
  <si>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</si>
  <si>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</si>
  <si>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</si>
  <si>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</si>
  <si>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</si>
  <si>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</si>
  <si>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</si>
  <si>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</si>
  <si>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</si>
  <si>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</si>
  <si>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</si>
  <si>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</si>
  <si>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</si>
  <si>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</si>
  <si>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</si>
  <si>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</si>
  <si>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</si>
  <si>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</si>
  <si>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</si>
  <si>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</si>
  <si>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</si>
  <si>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</si>
  <si>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</si>
  <si>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</si>
  <si>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</si>
  <si>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</si>
  <si>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</si>
  <si>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</si>
  <si>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</si>
  <si>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</si>
  <si>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</si>
  <si>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</si>
  <si>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</si>
  <si>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</si>
  <si>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</si>
  <si>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</si>
  <si>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</si>
  <si>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</si>
  <si>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</si>
  <si>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</si>
  <si>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</si>
  <si>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</si>
  <si>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</si>
  <si>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</si>
  <si>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</si>
  <si>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</si>
  <si>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</si>
  <si>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</si>
  <si>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</si>
  <si>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</si>
  <si>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</si>
  <si>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</si>
  <si>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</si>
  <si>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</si>
  <si>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</si>
  <si>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</si>
  <si>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</si>
  <si>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</si>
  <si>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</si>
  <si>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</si>
  <si>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</si>
  <si>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</si>
  <si>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</si>
  <si>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</si>
  <si>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</si>
  <si>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</si>
  <si>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</si>
  <si>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</si>
  <si>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</si>
  <si>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</si>
  <si>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</si>
  <si>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</si>
  <si>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</si>
  <si>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</si>
  <si>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</si>
  <si>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</si>
  <si>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</si>
  <si>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</si>
  <si>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</si>
  <si>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</si>
  <si>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</si>
  <si>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</si>
  <si>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</si>
  <si>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</si>
  <si>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</si>
  <si>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</si>
  <si>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</si>
  <si>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</si>
  <si>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</si>
  <si>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</si>
  <si>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</si>
  <si>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</si>
  <si>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</si>
  <si>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</si>
  <si>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</si>
  <si>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</si>
  <si>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</si>
  <si>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</si>
  <si>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</si>
  <si>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</si>
  <si>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</si>
  <si>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</si>
  <si>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</si>
  <si>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</si>
  <si>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</si>
  <si>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</si>
  <si>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</si>
  <si>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</si>
  <si>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</si>
  <si>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</si>
  <si>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</si>
  <si>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</si>
  <si>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</si>
  <si>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</si>
  <si>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</si>
  <si>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</si>
  <si>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</si>
  <si>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</si>
  <si>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</si>
  <si>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</si>
  <si>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</si>
  <si>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</si>
  <si>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</si>
  <si>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</si>
  <si>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</si>
  <si>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</si>
  <si>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</si>
  <si>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</si>
  <si>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</si>
  <si>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</si>
  <si>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</si>
  <si>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</si>
  <si>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</si>
  <si>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</si>
  <si>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</si>
  <si>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</si>
  <si>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</si>
  <si>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</si>
  <si>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</si>
  <si>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</si>
  <si>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</si>
  <si>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</si>
  <si>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</si>
  <si>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</si>
  <si>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</si>
  <si>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</si>
  <si>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</si>
  <si>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</si>
  <si>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</si>
  <si>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</si>
  <si>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</si>
  <si>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</si>
  <si>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</si>
  <si>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</si>
  <si>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</si>
  <si>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</si>
  <si>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</si>
  <si>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</si>
  <si>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</si>
  <si>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</si>
  <si>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</si>
  <si>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</si>
  <si>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</si>
  <si>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</si>
  <si>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</si>
  <si>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</si>
  <si>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</si>
  <si>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</si>
  <si>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</si>
  <si>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</si>
  <si>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</si>
  <si>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</si>
  <si>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</si>
  <si>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</si>
  <si>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</si>
  <si>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</si>
  <si>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</si>
  <si>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</si>
  <si>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</si>
  <si>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</si>
  <si>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</si>
  <si>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</si>
  <si>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</si>
  <si>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</si>
  <si>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</si>
  <si>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</si>
  <si>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</si>
  <si>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</si>
  <si>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</si>
  <si>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</si>
  <si>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</si>
  <si>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</si>
  <si>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</si>
  <si>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</si>
  <si>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</si>
  <si>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</si>
  <si>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</si>
  <si>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</si>
  <si>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</si>
  <si>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</si>
  <si>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</si>
  <si>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</si>
  <si>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</si>
  <si>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</si>
  <si>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</si>
  <si>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</si>
  <si>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</si>
  <si>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</si>
  <si>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</si>
  <si>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</si>
  <si>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</si>
  <si>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</si>
  <si>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</si>
  <si>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</si>
  <si>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</si>
  <si>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</si>
  <si>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</si>
  <si>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</si>
  <si>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</si>
  <si>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</si>
  <si>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</si>
  <si>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</si>
  <si>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</si>
  <si>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</si>
  <si>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</si>
  <si>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</si>
  <si>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</si>
  <si>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</si>
  <si>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</si>
  <si>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</si>
  <si>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</si>
  <si>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</si>
  <si>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</si>
  <si>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</si>
  <si>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</si>
  <si>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</si>
  <si>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</si>
  <si>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</si>
  <si>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</si>
  <si>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</si>
  <si>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</si>
  <si>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</si>
  <si>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</si>
  <si>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</si>
  <si>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</si>
  <si>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</si>
  <si>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</si>
  <si>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</si>
  <si>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</si>
  <si>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</si>
  <si>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</si>
  <si>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</si>
  <si>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</si>
  <si>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</si>
  <si>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</si>
  <si>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</si>
  <si>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</si>
  <si>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</si>
  <si>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</si>
  <si>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</si>
  <si>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</si>
  <si>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</si>
  <si>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</si>
  <si>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</si>
  <si>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</si>
  <si>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</si>
  <si>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</si>
  <si>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</si>
  <si>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</si>
  <si>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</si>
  <si>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</si>
  <si>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</si>
  <si>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</si>
  <si>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</si>
  <si>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</si>
  <si>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</si>
  <si>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</si>
  <si>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</si>
  <si>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</si>
  <si>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</si>
  <si>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</si>
  <si>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</si>
  <si>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</si>
  <si>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</si>
  <si>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</si>
  <si>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</si>
  <si>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</si>
  <si>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</si>
  <si>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</si>
  <si>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</si>
  <si>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</si>
  <si>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</si>
  <si>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</si>
  <si>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</si>
  <si>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</si>
  <si>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</si>
  <si>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</si>
  <si>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</si>
  <si>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</si>
  <si>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</si>
  <si>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</si>
  <si>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</si>
  <si>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</si>
  <si>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</si>
  <si>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</si>
  <si>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</si>
  <si>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</si>
  <si>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</si>
  <si>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</si>
  <si>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</si>
  <si>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</si>
  <si>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</si>
  <si>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</si>
  <si>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</si>
  <si>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</si>
  <si>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</si>
  <si>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</si>
  <si>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</si>
  <si>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</si>
  <si>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</si>
  <si>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</si>
  <si>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</si>
  <si>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</si>
  <si>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</si>
  <si>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</si>
  <si>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</si>
  <si>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</si>
  <si>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</si>
  <si>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</si>
  <si>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</si>
  <si>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</si>
  <si>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</si>
  <si>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</si>
  <si>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</si>
  <si>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</si>
  <si>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</si>
  <si>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</si>
  <si>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</si>
  <si>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</si>
  <si>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</si>
  <si>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</si>
  <si>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</si>
  <si>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</si>
  <si>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</si>
  <si>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</si>
  <si>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</si>
  <si>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</si>
  <si>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</si>
  <si>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</si>
  <si>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</si>
  <si>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</si>
  <si>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</si>
  <si>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</si>
  <si>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</si>
  <si>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</si>
  <si>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</si>
  <si>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</si>
  <si>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</si>
  <si>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</si>
  <si>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</si>
  <si>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</si>
  <si>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</si>
  <si>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</si>
  <si>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</si>
  <si>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</si>
  <si>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</si>
  <si>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</si>
  <si>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</si>
  <si>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</si>
  <si>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</si>
  <si>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</si>
  <si>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</si>
  <si>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</si>
  <si>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</si>
  <si>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</si>
  <si>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</si>
  <si>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</si>
  <si>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</si>
  <si>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</si>
  <si>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</si>
  <si>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</si>
  <si>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</si>
  <si>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</si>
  <si>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</si>
  <si>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</si>
  <si>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</si>
  <si>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</si>
  <si>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</si>
  <si>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</si>
  <si>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</si>
  <si>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</si>
  <si>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</si>
  <si>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</si>
  <si>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</si>
  <si>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</si>
  <si>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</si>
  <si>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</si>
  <si>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</si>
  <si>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</si>
  <si>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</si>
  <si>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</si>
  <si>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</si>
  <si>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</si>
  <si>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</si>
  <si>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</si>
  <si>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</si>
  <si>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</si>
  <si>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</si>
  <si>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</si>
  <si>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</si>
  <si>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</si>
  <si>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</si>
  <si>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</si>
  <si>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</si>
  <si>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</si>
  <si>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</si>
  <si>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</si>
  <si>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</si>
  <si>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</si>
  <si>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</si>
  <si>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</si>
  <si>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</si>
  <si>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</si>
  <si>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</si>
  <si>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</si>
  <si>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</si>
  <si>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</si>
  <si>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</si>
  <si>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</si>
  <si>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</si>
  <si>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</si>
  <si>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</si>
  <si>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</si>
  <si>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</si>
  <si>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</si>
  <si>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</si>
  <si>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</si>
  <si>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</si>
  <si>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</si>
  <si>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</si>
  <si>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</si>
  <si>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</si>
  <si>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</si>
  <si>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</si>
  <si>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</si>
  <si>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</si>
  <si>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</si>
  <si>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</si>
  <si>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</si>
  <si>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</si>
  <si>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</si>
  <si>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</si>
  <si>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</si>
  <si>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</si>
  <si>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</si>
  <si>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</si>
  <si>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</si>
  <si>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</si>
  <si>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</si>
  <si>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</si>
  <si>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</si>
  <si>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</si>
  <si>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</si>
  <si>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</si>
  <si>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</si>
  <si>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</si>
  <si>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</si>
  <si>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</si>
  <si>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</si>
  <si>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</si>
  <si>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</si>
  <si>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</si>
  <si>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</si>
  <si>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</si>
  <si>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</si>
  <si>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</si>
  <si>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</si>
  <si>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</si>
  <si>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</si>
  <si>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</si>
  <si>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</si>
  <si>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</si>
  <si>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</si>
  <si>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</si>
  <si>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</si>
  <si>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</si>
  <si>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</si>
  <si>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</si>
  <si>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</si>
  <si>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</si>
  <si>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</si>
  <si>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</si>
  <si>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</si>
  <si>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</si>
  <si>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</si>
  <si>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</si>
  <si>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</si>
  <si>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</si>
  <si>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</si>
  <si>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</si>
  <si>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</si>
  <si>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</si>
  <si>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</si>
  <si>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</si>
  <si>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</si>
  <si>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</si>
  <si>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</si>
  <si>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</si>
  <si>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</si>
  <si>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</si>
  <si>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</si>
  <si>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</si>
  <si>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</si>
  <si>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</si>
  <si>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</si>
  <si>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</si>
  <si>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</si>
  <si>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</si>
  <si>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</si>
  <si>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</si>
  <si>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</si>
  <si>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</si>
  <si>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</si>
  <si>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</si>
  <si>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</si>
  <si>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</si>
  <si>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</si>
  <si>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</si>
  <si>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</si>
  <si>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</si>
  <si>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</si>
  <si>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</si>
  <si>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</si>
  <si>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</si>
  <si>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</si>
  <si>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</si>
  <si>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</si>
  <si>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</si>
  <si>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</si>
  <si>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</si>
  <si>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</si>
  <si>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</si>
  <si>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</si>
  <si>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</si>
  <si>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</si>
  <si>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</si>
  <si>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</si>
  <si>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</si>
  <si>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</si>
  <si>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</si>
  <si>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</si>
  <si>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</si>
  <si>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</si>
  <si>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</si>
  <si>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</si>
  <si>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</si>
  <si>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</si>
  <si>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</si>
  <si>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</si>
  <si>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</si>
  <si>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</si>
  <si>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</si>
  <si>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</si>
  <si>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</si>
  <si>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</si>
  <si>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</si>
  <si>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</si>
  <si>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</si>
  <si>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</si>
  <si>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</si>
  <si>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</si>
  <si>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</si>
  <si>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</si>
  <si>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</si>
  <si>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</si>
  <si>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</si>
  <si>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</si>
  <si>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</si>
  <si>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</si>
  <si>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</si>
  <si>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</si>
  <si>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</si>
  <si>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</si>
  <si>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</si>
  <si>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</si>
  <si>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</si>
  <si>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</si>
  <si>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</si>
  <si>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</si>
  <si>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</si>
  <si>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</si>
  <si>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</si>
  <si>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</si>
  <si>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</si>
  <si>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</si>
  <si>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</si>
  <si>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</si>
  <si>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</si>
  <si>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</si>
  <si>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</si>
  <si>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</si>
  <si>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</si>
  <si>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</si>
  <si>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</si>
  <si>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</si>
  <si>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</si>
  <si>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</si>
  <si>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</si>
  <si>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</si>
  <si>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</si>
  <si>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</si>
  <si>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</si>
  <si>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</si>
  <si>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</si>
  <si>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</si>
  <si>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</si>
  <si>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</si>
  <si>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</si>
  <si>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</si>
  <si>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</si>
  <si>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</si>
  <si>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</si>
  <si>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</si>
  <si>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</si>
  <si>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</si>
  <si>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</si>
  <si>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</si>
  <si>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</si>
  <si>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</si>
  <si>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</si>
  <si>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</si>
  <si>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</si>
  <si>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</si>
  <si>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</si>
  <si>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</si>
  <si>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</si>
  <si>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</si>
  <si>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</si>
  <si>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</si>
  <si>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</si>
  <si>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</si>
  <si>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</si>
  <si>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</si>
  <si>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</si>
  <si>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</si>
  <si>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</si>
  <si>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</si>
  <si>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</si>
  <si>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</si>
  <si>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</si>
  <si>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</si>
  <si>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</si>
  <si>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</si>
  <si>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</si>
  <si>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</si>
  <si>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</si>
  <si>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</si>
  <si>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</si>
  <si>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</si>
  <si>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</si>
  <si>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</si>
  <si>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</si>
  <si>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</si>
  <si>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</si>
  <si>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</si>
  <si>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</si>
  <si>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</si>
  <si>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</si>
  <si>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</si>
  <si>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</si>
  <si>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</si>
  <si>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</si>
  <si>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</si>
  <si>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</si>
  <si>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</si>
  <si>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</si>
  <si>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</si>
  <si>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</si>
  <si>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</si>
  <si>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</si>
  <si>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</si>
  <si>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</si>
  <si>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</si>
  <si>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</si>
  <si>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</si>
  <si>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</si>
  <si>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</si>
  <si>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</si>
  <si>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</si>
  <si>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</si>
  <si>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</si>
  <si>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</si>
  <si>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</si>
  <si>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</si>
  <si>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</si>
  <si>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</si>
  <si>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</si>
  <si>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</si>
  <si>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</si>
  <si>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</si>
  <si>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</si>
  <si>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</si>
  <si>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</si>
  <si>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</si>
  <si>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</si>
  <si>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</si>
  <si>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</si>
  <si>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</si>
  <si>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</si>
  <si>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</si>
  <si>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</si>
  <si>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</si>
  <si>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</si>
  <si>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</si>
  <si>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</si>
  <si>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</si>
  <si>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</si>
  <si>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</si>
  <si>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</si>
  <si>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</si>
  <si>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</si>
  <si>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</si>
  <si>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</si>
  <si>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</si>
  <si>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</si>
  <si>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</si>
  <si>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</si>
  <si>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</si>
  <si>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</si>
  <si>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</si>
  <si>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</si>
  <si>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</si>
  <si>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</si>
  <si>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</si>
  <si>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</si>
  <si>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</si>
  <si>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</si>
  <si>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</si>
  <si>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</si>
  <si>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</si>
  <si>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</si>
  <si>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</si>
  <si>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</si>
  <si>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</si>
  <si>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</si>
  <si>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</si>
  <si>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</si>
  <si>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</si>
  <si>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</si>
  <si>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</si>
  <si>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</si>
  <si>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</si>
  <si>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</si>
  <si>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</si>
  <si>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</si>
  <si>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</si>
  <si>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</si>
  <si>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</si>
  <si>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</si>
  <si>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</si>
  <si>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</si>
  <si>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</si>
  <si>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</si>
  <si>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</si>
  <si>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</si>
  <si>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</si>
  <si>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</si>
  <si>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</si>
  <si>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</si>
  <si>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</si>
  <si>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</si>
  <si>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</si>
  <si>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</si>
  <si>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</si>
  <si>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</si>
  <si>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</si>
  <si>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</si>
  <si>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</si>
  <si>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</si>
  <si>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</si>
  <si>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</si>
  <si>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</si>
  <si>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</si>
  <si>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</si>
  <si>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</si>
  <si>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</si>
  <si>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</si>
  <si>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</si>
  <si>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</si>
  <si>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</si>
  <si>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</si>
  <si>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</si>
  <si>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</si>
  <si>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</si>
  <si>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</si>
  <si>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</si>
  <si>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</si>
  <si>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</si>
  <si>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</si>
  <si>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</si>
  <si>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</si>
  <si>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</si>
  <si>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</si>
  <si>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</si>
  <si>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</si>
  <si>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</si>
  <si>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</si>
  <si>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</si>
  <si>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</si>
  <si>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</si>
  <si>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</si>
  <si>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</si>
  <si>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</si>
  <si>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</si>
  <si>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</si>
  <si>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</si>
  <si>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</si>
  <si>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</si>
  <si>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</si>
  <si>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</si>
  <si>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</si>
  <si>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</si>
  <si>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</si>
  <si>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</si>
  <si>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</si>
  <si>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</si>
  <si>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</si>
  <si>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</si>
  <si>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</si>
  <si>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</si>
  <si>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</si>
  <si>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</si>
  <si>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</si>
  <si>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</si>
  <si>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</si>
  <si>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</si>
  <si>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</si>
  <si>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</si>
  <si>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</si>
  <si>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</si>
  <si>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</si>
  <si>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</si>
  <si>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</si>
  <si>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</si>
  <si>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</si>
  <si>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</si>
  <si>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</si>
  <si>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</si>
  <si>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</si>
  <si>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</si>
  <si>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</si>
  <si>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</si>
  <si>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</si>
  <si>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</si>
  <si>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</si>
  <si>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</si>
  <si>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</si>
  <si>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</si>
  <si>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</si>
  <si>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</si>
  <si>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</si>
  <si>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</si>
  <si>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</si>
  <si>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</si>
  <si>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</si>
  <si>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</si>
  <si>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</si>
  <si>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</si>
  <si>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</si>
  <si>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</si>
  <si>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</si>
  <si>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</si>
  <si>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</si>
  <si>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</si>
  <si>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</si>
  <si>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</si>
  <si>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</si>
  <si>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</si>
  <si>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</si>
  <si>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</si>
  <si>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</si>
  <si>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</si>
  <si>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</si>
  <si>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</si>
  <si>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</si>
  <si>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</si>
  <si>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</si>
  <si>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</si>
  <si>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</si>
  <si>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</si>
  <si>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</si>
  <si>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</si>
  <si>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</si>
  <si>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</si>
  <si>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</si>
  <si>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</si>
  <si>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</si>
  <si>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</si>
  <si>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</si>
  <si>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</si>
  <si>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</si>
  <si>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</si>
  <si>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</si>
  <si>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</si>
  <si>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</si>
  <si>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</si>
  <si>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</si>
  <si>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</si>
  <si>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</si>
  <si>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</si>
  <si>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</si>
  <si>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</si>
  <si>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</si>
  <si>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</si>
  <si>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</si>
  <si>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</si>
  <si>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</si>
  <si>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</si>
  <si>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</si>
  <si>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</si>
  <si>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</si>
  <si>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</si>
  <si>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</si>
  <si>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</si>
  <si>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</si>
  <si>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</si>
  <si>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</si>
  <si>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</si>
  <si>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</si>
  <si>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</si>
  <si>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</si>
  <si>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</si>
  <si>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</si>
  <si>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</si>
  <si>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</si>
  <si>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</si>
  <si>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</si>
  <si>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</si>
  <si>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</si>
  <si>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</si>
  <si>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</si>
  <si>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</si>
  <si>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</si>
  <si>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</si>
  <si>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</si>
  <si>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</si>
  <si>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</si>
  <si>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</si>
  <si>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</si>
  <si>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</si>
  <si>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</si>
  <si>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</si>
  <si>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</si>
  <si>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</si>
  <si>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</si>
  <si>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</si>
  <si>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</si>
  <si>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</si>
  <si>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</si>
  <si>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</si>
  <si>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</si>
  <si>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</si>
  <si>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</si>
  <si>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</si>
  <si>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</si>
  <si>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</si>
  <si>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</si>
  <si>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</si>
  <si>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</si>
  <si>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</si>
  <si>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</si>
  <si>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</si>
  <si>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</si>
  <si>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</si>
  <si>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</si>
  <si>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</si>
  <si>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</si>
  <si>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</si>
  <si>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</si>
  <si>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</si>
  <si>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</si>
  <si>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</si>
  <si>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</si>
  <si>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</si>
  <si>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</si>
  <si>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</si>
  <si>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</si>
  <si>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</si>
  <si>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</si>
  <si>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</si>
  <si>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</si>
  <si>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</si>
  <si>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</si>
  <si>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</si>
  <si>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</si>
  <si>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</si>
  <si>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</si>
  <si>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</si>
  <si>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</si>
  <si>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</si>
  <si>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</si>
  <si>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</si>
  <si>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</si>
  <si>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</si>
  <si>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</si>
  <si>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</si>
  <si>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</si>
  <si>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</si>
  <si>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</si>
  <si>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</si>
  <si>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</si>
  <si>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</si>
  <si>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</si>
  <si>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</si>
  <si>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</si>
  <si>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</si>
  <si>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</si>
  <si>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</si>
  <si>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</si>
  <si>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</si>
  <si>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</si>
  <si>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</si>
  <si>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</si>
  <si>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</si>
  <si>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</si>
  <si>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</si>
  <si>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</si>
  <si>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</si>
  <si>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</si>
  <si>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</si>
  <si>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</si>
  <si>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</si>
  <si>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</si>
  <si>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</si>
  <si>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</si>
  <si>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</si>
  <si>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</si>
  <si>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</si>
  <si>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</si>
  <si>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</si>
  <si>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</si>
  <si>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</si>
  <si>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</si>
  <si>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</si>
  <si>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</si>
  <si>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</si>
  <si>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</si>
  <si>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</si>
  <si>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</si>
  <si>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</si>
  <si>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</si>
  <si>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</si>
  <si>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</si>
  <si>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</si>
  <si>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</si>
  <si>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</si>
  <si>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</si>
  <si>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</si>
  <si>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</si>
  <si>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</si>
  <si>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</si>
  <si>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</si>
  <si>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</si>
  <si>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</si>
  <si>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</si>
  <si>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</si>
  <si>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</si>
  <si>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</si>
  <si>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</si>
  <si>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</si>
  <si>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</si>
  <si>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</si>
  <si>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</si>
  <si>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</si>
  <si>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</si>
  <si>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</si>
  <si>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</si>
  <si>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</si>
  <si>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</si>
  <si>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</si>
  <si>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</si>
  <si>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</si>
  <si>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</si>
  <si>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</si>
  <si>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</si>
  <si>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</si>
  <si>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</si>
  <si>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</si>
  <si>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</si>
  <si>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</si>
  <si>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</si>
  <si>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</si>
  <si>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</si>
  <si>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</si>
  <si>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</si>
  <si>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</si>
  <si>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</si>
  <si>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</si>
  <si>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</si>
  <si>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</si>
  <si>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</si>
  <si>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</si>
  <si>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</si>
  <si>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</si>
  <si>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</si>
  <si>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</si>
  <si>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</si>
  <si>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</si>
  <si>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</si>
  <si>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</si>
  <si>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</si>
  <si>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</si>
  <si>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</si>
  <si>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</si>
  <si>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</si>
  <si>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</si>
  <si>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</si>
  <si>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</si>
  <si>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</si>
  <si>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</si>
  <si>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</si>
  <si>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</si>
  <si>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</si>
  <si>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</si>
  <si>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</si>
  <si>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</si>
  <si>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</si>
  <si>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</si>
  <si>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</si>
  <si>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</si>
  <si>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</si>
  <si>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</si>
  <si>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</si>
  <si>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</si>
  <si>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</si>
  <si>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</si>
  <si>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</si>
  <si>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</si>
  <si>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</si>
  <si>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</si>
  <si>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</si>
  <si>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</si>
  <si>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</si>
  <si>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</si>
  <si>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</si>
  <si>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</si>
  <si>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</si>
  <si>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</si>
  <si>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</si>
  <si>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</si>
  <si>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</si>
  <si>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</si>
  <si>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</si>
  <si>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</si>
  <si>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</si>
  <si>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</si>
  <si>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</si>
  <si>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</si>
  <si>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</si>
  <si>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</si>
  <si>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</si>
  <si>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</si>
  <si>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</si>
  <si>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</si>
  <si>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</si>
  <si>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</si>
  <si>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</si>
  <si>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</si>
  <si>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</si>
  <si>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</si>
  <si>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</si>
  <si>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</si>
  <si>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</si>
  <si>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</si>
  <si>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</si>
  <si>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</si>
  <si>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</si>
  <si>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</si>
  <si>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</si>
  <si>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</si>
  <si>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</si>
  <si>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</si>
  <si>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</si>
  <si>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</si>
  <si>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</si>
  <si>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</si>
  <si>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</si>
  <si>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</si>
  <si>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</si>
  <si>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</si>
  <si>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</si>
  <si>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</si>
  <si>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</si>
  <si>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</si>
  <si>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</si>
  <si>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</si>
  <si>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</si>
  <si>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</si>
  <si>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</si>
  <si>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</si>
  <si>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</si>
  <si>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</si>
  <si>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</si>
  <si>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</si>
  <si>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</si>
  <si>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</si>
  <si>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</si>
  <si>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</si>
  <si>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</si>
  <si>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</si>
  <si>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</si>
  <si>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</si>
  <si>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</si>
  <si>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</si>
  <si>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</si>
  <si>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</si>
  <si>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</si>
  <si>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</si>
  <si>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</si>
  <si>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</si>
  <si>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</si>
  <si>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</si>
  <si>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</si>
  <si>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</si>
  <si>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</si>
  <si>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</si>
  <si>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</si>
  <si>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</si>
  <si>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</si>
  <si>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</si>
  <si>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</si>
  <si>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</si>
  <si>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</si>
  <si>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</si>
  <si>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</si>
  <si>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</si>
  <si>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</si>
  <si>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</si>
  <si>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</si>
  <si>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</si>
  <si>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</si>
  <si>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</si>
  <si>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</si>
  <si>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</si>
  <si>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</si>
  <si>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</si>
  <si>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</si>
  <si>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</si>
  <si>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</si>
  <si>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</si>
  <si>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</si>
  <si>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</si>
  <si>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</si>
  <si>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</si>
  <si>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</si>
  <si>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</si>
  <si>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</si>
  <si>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</si>
  <si>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</si>
  <si>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</si>
  <si>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</si>
  <si>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</si>
  <si>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</si>
  <si>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</si>
  <si>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</si>
  <si>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</si>
  <si>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</si>
  <si>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</si>
  <si>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</si>
  <si>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</si>
  <si>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</si>
  <si>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</si>
  <si>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</si>
  <si>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</si>
  <si>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</si>
  <si>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</si>
  <si>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</si>
  <si>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</si>
  <si>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</si>
  <si>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</si>
  <si>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</si>
  <si>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</si>
  <si>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</si>
  <si>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</si>
  <si>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</si>
  <si>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</si>
  <si>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</si>
  <si>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</si>
  <si>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</si>
  <si>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</si>
  <si>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</si>
  <si>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</si>
  <si>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</si>
  <si>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</si>
  <si>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</si>
  <si>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</si>
  <si>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</si>
  <si>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</si>
  <si>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</si>
  <si>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</si>
  <si>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</si>
  <si>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</si>
  <si>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</si>
  <si>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</si>
  <si>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</si>
  <si>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</si>
  <si>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</si>
  <si>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</si>
  <si>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</si>
  <si>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</si>
  <si>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</si>
  <si>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</si>
  <si>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</si>
  <si>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</si>
  <si>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</si>
  <si>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</si>
  <si>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</si>
  <si>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</si>
  <si>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</si>
  <si>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</si>
  <si>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</si>
  <si>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</si>
  <si>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</si>
  <si>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</si>
  <si>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</si>
  <si>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</si>
  <si>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</si>
  <si>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</si>
  <si>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</si>
  <si>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</si>
  <si>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</si>
  <si>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</si>
  <si>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</si>
  <si>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</si>
  <si>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</si>
  <si>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</si>
  <si>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</si>
  <si>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</si>
  <si>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</si>
  <si>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</si>
  <si>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</si>
  <si>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</si>
  <si>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</si>
  <si>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</si>
  <si>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</si>
  <si>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</si>
  <si>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</si>
  <si>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</si>
  <si>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</si>
  <si>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</si>
  <si>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</si>
  <si>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</si>
  <si>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</si>
  <si>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</si>
  <si>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</si>
  <si>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</si>
  <si>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</si>
  <si>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</si>
  <si>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</si>
  <si>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</si>
  <si>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</si>
  <si>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</si>
  <si>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</si>
  <si>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</si>
  <si>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</si>
  <si>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</si>
  <si>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</si>
  <si>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</si>
  <si>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</si>
  <si>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</si>
  <si>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</si>
  <si>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</si>
  <si>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</si>
  <si>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</si>
  <si>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</si>
  <si>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</si>
  <si>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</si>
  <si>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</si>
  <si>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</si>
  <si>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</si>
  <si>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</si>
  <si>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</si>
  <si>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</si>
  <si>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</si>
  <si>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</si>
  <si>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</si>
  <si>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</si>
  <si>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</si>
  <si>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</si>
  <si>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</si>
  <si>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</si>
  <si>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</si>
  <si>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</si>
  <si>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</si>
  <si>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</si>
  <si>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</si>
  <si>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</si>
  <si>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</si>
  <si>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</si>
  <si>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</si>
  <si>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</si>
  <si>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</si>
  <si>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</si>
  <si>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</si>
  <si>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</si>
  <si>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</si>
  <si>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</si>
  <si>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</si>
  <si>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</si>
  <si>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</si>
  <si>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</si>
  <si>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</si>
  <si>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</si>
  <si>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</si>
  <si>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</si>
  <si>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</si>
  <si>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</si>
  <si>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</si>
  <si>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</si>
  <si>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</si>
  <si>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</si>
  <si>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</si>
  <si>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</si>
  <si>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</si>
  <si>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</si>
  <si>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</si>
  <si>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</si>
  <si>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</si>
  <si>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</si>
  <si>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</si>
  <si>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</si>
  <si>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</si>
  <si>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</si>
  <si>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</si>
  <si>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</si>
  <si>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</si>
  <si>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</si>
  <si>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</si>
  <si>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</si>
  <si>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</si>
  <si>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</si>
  <si>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</si>
  <si>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</si>
  <si>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</si>
  <si>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</si>
  <si>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</si>
  <si>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</si>
  <si>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</si>
  <si>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</si>
  <si>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</si>
  <si>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</si>
  <si>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</si>
  <si>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</si>
  <si>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</si>
  <si>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</si>
  <si>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</si>
  <si>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</si>
  <si>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</si>
  <si>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</si>
  <si>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</si>
  <si>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</si>
  <si>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</si>
  <si>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</si>
  <si>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</si>
  <si>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</si>
  <si>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</si>
  <si>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</si>
  <si>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</si>
  <si>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</si>
  <si>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</si>
  <si>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</si>
  <si>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</si>
  <si>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</si>
  <si>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</si>
  <si>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</si>
  <si>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</si>
  <si>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</si>
  <si>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</si>
  <si>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</si>
  <si>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</si>
  <si>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</si>
  <si>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</si>
  <si>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</si>
  <si>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</si>
  <si>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</si>
  <si>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</si>
  <si>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</si>
  <si>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</si>
  <si>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</si>
  <si>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</si>
  <si>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</si>
  <si>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</si>
  <si>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</si>
  <si>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</si>
  <si>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</si>
  <si>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</si>
  <si>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</si>
  <si>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</si>
  <si>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</si>
  <si>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</si>
  <si>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</si>
  <si>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</si>
  <si>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</si>
  <si>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</si>
  <si>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</si>
  <si>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</si>
  <si>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</si>
  <si>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</si>
  <si>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</si>
  <si>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</si>
  <si>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</si>
  <si>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</si>
  <si>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</si>
  <si>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</si>
  <si>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</si>
  <si>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</si>
  <si>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</si>
  <si>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</si>
  <si>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</si>
  <si>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</si>
  <si>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</si>
  <si>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</si>
  <si>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</si>
  <si>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</si>
  <si>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</si>
  <si>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</si>
  <si>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</si>
  <si>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</si>
  <si>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</si>
  <si>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</si>
  <si>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</si>
  <si>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</si>
  <si>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</si>
  <si>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</si>
  <si>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</si>
  <si>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</si>
  <si>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</si>
  <si>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</si>
  <si>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</si>
  <si>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</si>
  <si>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</si>
  <si>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</si>
  <si>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</si>
  <si>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</si>
  <si>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</si>
  <si>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</si>
  <si>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</si>
  <si>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</si>
  <si>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</si>
  <si>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</si>
  <si>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</si>
  <si>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</si>
  <si>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</si>
  <si>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</si>
  <si>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</si>
  <si>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</si>
  <si>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</si>
  <si>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</si>
  <si>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</si>
  <si>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</si>
  <si>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</si>
  <si>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</si>
  <si>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</si>
  <si>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</si>
  <si>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</si>
  <si>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</si>
  <si>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</si>
  <si>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</si>
  <si>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</si>
  <si>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</si>
  <si>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</si>
  <si>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</si>
  <si>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</si>
  <si>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</si>
  <si>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</si>
  <si>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</si>
  <si>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</si>
  <si>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</si>
  <si>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</si>
  <si>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</si>
  <si>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</si>
  <si>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</si>
  <si>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</si>
  <si>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</si>
  <si>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</si>
  <si>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</si>
  <si>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</si>
  <si>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</si>
  <si>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</si>
  <si>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</si>
  <si>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</si>
  <si>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</si>
  <si>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</si>
  <si>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</si>
  <si>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</si>
  <si>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</si>
  <si>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</si>
  <si>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</si>
  <si>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</si>
  <si>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</si>
  <si>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</si>
  <si>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</si>
  <si>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</si>
  <si>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</si>
  <si>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</si>
  <si>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</si>
  <si>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</si>
  <si>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</si>
  <si>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</si>
  <si>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</si>
  <si>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</si>
  <si>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</si>
  <si>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</si>
  <si>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</si>
  <si>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</si>
  <si>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</si>
  <si>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</si>
  <si>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</si>
  <si>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</si>
  <si>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</si>
  <si>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</si>
  <si>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</si>
  <si>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</si>
  <si>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</si>
  <si>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</si>
  <si>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</si>
  <si>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</si>
  <si>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</si>
  <si>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</si>
  <si>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</si>
  <si>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</si>
  <si>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</si>
  <si>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</si>
  <si>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</si>
  <si>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</si>
  <si>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</si>
  <si>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</si>
  <si>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</si>
  <si>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</si>
  <si>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</si>
  <si>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</si>
  <si>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</si>
  <si>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</si>
  <si>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</si>
  <si>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</si>
  <si>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</si>
  <si>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</si>
  <si>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</si>
  <si>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</si>
  <si>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</si>
  <si>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</si>
  <si>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</si>
  <si>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</si>
  <si>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</si>
  <si>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</si>
  <si>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</si>
  <si>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</si>
  <si>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</si>
  <si>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</si>
  <si>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</si>
  <si>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</si>
  <si>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</si>
  <si>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</si>
  <si>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</si>
  <si>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</si>
  <si>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</si>
  <si>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</si>
  <si>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</si>
  <si>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</si>
  <si>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</si>
  <si>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</si>
  <si>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</si>
  <si>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</si>
  <si>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</si>
  <si>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</si>
  <si>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</si>
  <si>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</si>
  <si>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</si>
  <si>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</si>
  <si>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</si>
  <si>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</si>
  <si>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</si>
  <si>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</si>
  <si>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</si>
  <si>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</si>
  <si>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</si>
  <si>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</si>
  <si>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</si>
  <si>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</si>
  <si>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</si>
  <si>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</si>
  <si>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</si>
  <si>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</si>
  <si>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</si>
  <si>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</si>
  <si>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</si>
  <si>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</si>
  <si>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</si>
  <si>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</si>
  <si>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</si>
  <si>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</si>
  <si>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</si>
  <si>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</si>
  <si>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</si>
  <si>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</si>
  <si>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</si>
  <si>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</si>
  <si>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</si>
  <si>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</si>
  <si>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</si>
  <si>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</si>
  <si>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</si>
  <si>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</si>
  <si>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</si>
  <si>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</si>
  <si>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</si>
  <si>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</si>
  <si>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</si>
  <si>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</si>
  <si>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</si>
  <si>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</si>
  <si>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</si>
  <si>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</si>
  <si>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</si>
  <si>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</si>
  <si>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</si>
  <si>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</si>
  <si>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</si>
  <si>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</si>
  <si>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</si>
  <si>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</si>
  <si>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</si>
  <si>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</si>
  <si>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</si>
  <si>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</si>
  <si>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</si>
  <si>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</si>
  <si>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</si>
  <si>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</si>
  <si>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</si>
  <si>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</si>
  <si>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</si>
  <si>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</si>
  <si>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</si>
  <si>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</si>
  <si>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</si>
  <si>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</si>
  <si>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</si>
  <si>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</si>
  <si>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</si>
  <si>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</si>
  <si>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</si>
  <si>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</si>
  <si>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</si>
  <si>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</si>
  <si>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</si>
  <si>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</si>
  <si>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</si>
  <si>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</si>
  <si>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</si>
  <si>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</si>
  <si>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</si>
  <si>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</si>
  <si>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</si>
  <si>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</si>
  <si>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</si>
  <si>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</si>
  <si>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</si>
  <si>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</si>
  <si>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</si>
  <si>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</si>
  <si>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</si>
  <si>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</si>
  <si>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</si>
  <si>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</si>
  <si>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</si>
  <si>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</si>
  <si>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</si>
  <si>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</si>
  <si>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</si>
  <si>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</si>
  <si>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</si>
  <si>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</si>
  <si>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</si>
  <si>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</si>
  <si>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</si>
  <si>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</si>
  <si>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</si>
  <si>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</si>
  <si>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</si>
  <si>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</si>
  <si>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</si>
  <si>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</si>
  <si>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</si>
  <si>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</si>
  <si>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</si>
  <si>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</si>
  <si>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</si>
  <si>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</si>
  <si>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</si>
  <si>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</si>
  <si>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</si>
  <si>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</si>
  <si>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</si>
  <si>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</si>
  <si>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</si>
  <si>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</si>
  <si>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</si>
  <si>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</si>
  <si>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</si>
  <si>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</si>
  <si>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</si>
  <si>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</si>
  <si>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</si>
  <si>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</si>
  <si>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</si>
  <si>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</si>
  <si>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</si>
  <si>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</si>
  <si>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</si>
  <si>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</si>
  <si>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</si>
  <si>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</si>
  <si>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</si>
  <si>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</si>
  <si>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</si>
  <si>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</si>
  <si>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</si>
  <si>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</si>
  <si>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</si>
  <si>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</si>
  <si>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</si>
  <si>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</si>
  <si>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</si>
  <si>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</si>
  <si>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</si>
  <si>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</si>
  <si>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</si>
  <si>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</si>
  <si>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</si>
  <si>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</si>
  <si>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</si>
  <si>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</si>
  <si>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</si>
  <si>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</si>
  <si>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</si>
  <si>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</si>
  <si>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</si>
  <si>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</si>
  <si>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</si>
  <si>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</si>
  <si>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</si>
  <si>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</si>
  <si>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</si>
  <si>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</si>
  <si>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</si>
  <si>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</si>
  <si>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</si>
  <si>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</si>
  <si>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</si>
  <si>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</si>
  <si>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</si>
  <si>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</si>
  <si>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</si>
  <si>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</si>
  <si>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</si>
  <si>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</si>
  <si>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</si>
  <si>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</si>
  <si>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</si>
  <si>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</si>
  <si>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</si>
  <si>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</si>
  <si>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</si>
  <si>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</si>
  <si>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</si>
  <si>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</si>
  <si>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</si>
  <si>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</si>
  <si>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</si>
  <si>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</si>
  <si>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</si>
  <si>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</si>
  <si>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</si>
  <si>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</si>
  <si>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</si>
  <si>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</si>
  <si>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</si>
  <si>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</si>
  <si>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</si>
  <si>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</si>
  <si>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</si>
  <si>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</si>
  <si>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</si>
  <si>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</si>
  <si>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</si>
  <si>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</si>
  <si>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</si>
  <si>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</si>
  <si>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</si>
  <si>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</si>
  <si>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</si>
  <si>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</si>
  <si>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</si>
  <si>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</si>
  <si>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</si>
  <si>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</si>
  <si>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</si>
  <si>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</si>
  <si>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</si>
  <si>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</si>
  <si>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</si>
  <si>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</si>
  <si>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</si>
  <si>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</si>
  <si>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</si>
  <si>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</si>
  <si>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</si>
  <si>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</si>
  <si>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</si>
  <si>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</si>
  <si>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</si>
  <si>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</si>
  <si>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</si>
  <si>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</si>
  <si>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</si>
  <si>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</si>
  <si>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</si>
  <si>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</si>
  <si>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</si>
  <si>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</si>
  <si>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</si>
  <si>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</si>
  <si>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</si>
  <si>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</si>
  <si>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</si>
  <si>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</si>
  <si>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</si>
  <si>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</si>
  <si>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</si>
  <si>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</si>
  <si>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</si>
  <si>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</si>
  <si>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</si>
  <si>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</si>
  <si>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</si>
  <si>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</si>
  <si>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</si>
  <si>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</si>
  <si>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</si>
  <si>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</si>
  <si>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</si>
  <si>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</si>
  <si>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</si>
  <si>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</si>
  <si>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</si>
  <si>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</si>
  <si>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</si>
  <si>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</si>
  <si>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</si>
  <si>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</si>
  <si>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</si>
  <si>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</si>
  <si>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</si>
  <si>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</si>
  <si>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</si>
  <si>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</si>
  <si>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</si>
  <si>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</si>
  <si>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</si>
  <si>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</si>
  <si>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</si>
  <si>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</si>
  <si>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</si>
  <si>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</si>
  <si>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</si>
  <si>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</si>
  <si>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</si>
  <si>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</si>
  <si>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</si>
  <si>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</si>
  <si>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</si>
  <si>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</si>
  <si>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</si>
  <si>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</si>
  <si>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</si>
  <si>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</si>
  <si>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</si>
  <si>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</si>
  <si>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</si>
  <si>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</si>
  <si>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</si>
  <si>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</si>
  <si>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</si>
  <si>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</si>
  <si>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</si>
  <si>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</si>
  <si>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</si>
  <si>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</si>
  <si>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</si>
  <si>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</si>
  <si>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</si>
  <si>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</si>
  <si>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</si>
  <si>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</si>
  <si>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</si>
  <si>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</si>
  <si>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</si>
  <si>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</si>
  <si>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</si>
  <si>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</si>
  <si>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</si>
  <si>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</si>
  <si>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</si>
  <si>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</si>
  <si>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</si>
  <si>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</si>
  <si>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</si>
  <si>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</si>
  <si>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</si>
  <si>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</si>
  <si>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</si>
  <si>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</si>
  <si>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</si>
  <si>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</si>
  <si>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</si>
  <si>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</si>
  <si>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</si>
  <si>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</si>
  <si>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</si>
  <si>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</si>
  <si>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</si>
  <si>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</si>
  <si>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</si>
  <si>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</si>
  <si>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</si>
  <si>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</si>
  <si>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</si>
  <si>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</si>
  <si>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</si>
  <si>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</si>
  <si>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</si>
  <si>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</si>
  <si>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</si>
  <si>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</si>
  <si>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</si>
  <si>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</si>
  <si>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</si>
  <si>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</si>
  <si>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</si>
  <si>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</si>
  <si>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</si>
  <si>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</si>
  <si>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</si>
  <si>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</si>
  <si>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</si>
  <si>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</si>
  <si>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</si>
  <si>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</si>
  <si>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</si>
  <si>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</si>
  <si>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</si>
  <si>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</si>
  <si>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</si>
  <si>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</si>
  <si>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</si>
  <si>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</si>
  <si>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</si>
  <si>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</si>
  <si>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</si>
  <si>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</si>
  <si>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</si>
  <si>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</si>
  <si>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</si>
  <si>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</si>
  <si>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</si>
  <si>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</si>
  <si>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</si>
  <si>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</si>
  <si>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</si>
  <si>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</si>
  <si>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</si>
  <si>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</si>
  <si>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</si>
  <si>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</si>
  <si>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</si>
  <si>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</si>
  <si>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</si>
  <si>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</si>
  <si>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</si>
  <si>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</si>
  <si>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</si>
  <si>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</si>
  <si>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</si>
  <si>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</si>
  <si>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</si>
  <si>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</si>
  <si>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</si>
  <si>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</si>
  <si>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</si>
  <si>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</si>
  <si>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</si>
  <si>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</si>
  <si>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</si>
  <si>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</si>
  <si>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</si>
  <si>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</si>
  <si>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</si>
  <si>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</si>
  <si>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</si>
  <si>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</si>
  <si>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</si>
  <si>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</si>
  <si>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</si>
  <si>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</si>
  <si>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</si>
  <si>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</si>
  <si>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</si>
  <si>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</si>
  <si>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</si>
  <si>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</si>
  <si>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</si>
  <si>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</si>
  <si>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</si>
  <si>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</si>
  <si>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</si>
  <si>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</si>
  <si>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</si>
  <si>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</si>
  <si>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</si>
  <si>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</si>
  <si>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</si>
  <si>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</si>
  <si>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</si>
  <si>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</si>
  <si>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</si>
  <si>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</si>
  <si>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</si>
  <si>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</si>
  <si>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</si>
  <si>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</si>
  <si>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</si>
  <si>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</si>
  <si>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</si>
  <si>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</si>
  <si>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</si>
  <si>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</si>
  <si>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</si>
  <si>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</si>
  <si>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</si>
  <si>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</si>
  <si>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</si>
  <si>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</si>
  <si>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</si>
  <si>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</si>
  <si>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</si>
  <si>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</si>
  <si>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</si>
  <si>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</si>
  <si>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</si>
  <si>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</si>
  <si>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</si>
  <si>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</si>
  <si>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</si>
  <si>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</si>
  <si>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</si>
  <si>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</si>
  <si>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</si>
  <si>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</si>
  <si>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</si>
  <si>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</si>
  <si>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</si>
  <si>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</si>
  <si>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</si>
  <si>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</si>
  <si>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</si>
  <si>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</si>
  <si>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</si>
  <si>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</si>
  <si>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</si>
  <si>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</si>
  <si>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</si>
  <si>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</si>
  <si>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</si>
  <si>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</si>
  <si>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</si>
  <si>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</si>
  <si>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</si>
  <si>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</si>
  <si>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</si>
  <si>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</si>
  <si>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</si>
  <si>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</si>
  <si>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</si>
  <si>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</si>
  <si>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</si>
  <si>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</si>
  <si>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</si>
  <si>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</si>
  <si>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</si>
  <si>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</si>
  <si>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</si>
  <si>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</si>
  <si>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</si>
  <si>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</si>
  <si>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</si>
  <si>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</si>
  <si>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</si>
  <si>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</si>
  <si>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</si>
  <si>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</si>
  <si>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</si>
  <si>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</si>
  <si>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</si>
  <si>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</si>
  <si>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</si>
  <si>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</si>
  <si>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</si>
  <si>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</si>
  <si>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</si>
  <si>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</si>
  <si>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</si>
  <si>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</si>
  <si>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</si>
  <si>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</si>
  <si>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</si>
  <si>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</si>
  <si>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</si>
  <si>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</si>
  <si>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</si>
  <si>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</si>
  <si>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</si>
  <si>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</si>
  <si>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</si>
  <si>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</si>
  <si>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</si>
  <si>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</si>
  <si>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</si>
  <si>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</si>
  <si>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</si>
  <si>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</si>
  <si>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</si>
  <si>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</si>
  <si>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</si>
  <si>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</si>
  <si>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</si>
  <si>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</si>
  <si>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</si>
  <si>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</si>
  <si>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</si>
  <si>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</si>
  <si>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</si>
  <si>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</si>
  <si>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</si>
  <si>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</si>
  <si>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</si>
  <si>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</si>
  <si>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</si>
  <si>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</si>
  <si>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</si>
  <si>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</si>
  <si>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</si>
  <si>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</si>
  <si>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</si>
  <si>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</si>
  <si>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</si>
  <si>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</si>
  <si>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</si>
  <si>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</si>
  <si>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</si>
  <si>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</si>
  <si>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</si>
  <si>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</si>
  <si>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</si>
  <si>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</si>
  <si>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</si>
  <si>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</si>
  <si>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</si>
  <si>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</si>
  <si>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</si>
  <si>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</si>
  <si>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</si>
  <si>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</si>
  <si>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</si>
  <si>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</si>
  <si>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</si>
  <si>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</si>
  <si>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</si>
  <si>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</si>
  <si>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</si>
  <si>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</si>
  <si>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</si>
  <si>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</si>
  <si>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</si>
  <si>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</si>
  <si>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</si>
  <si>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</si>
  <si>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</si>
  <si>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</si>
  <si>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</si>
  <si>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</si>
  <si>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</si>
  <si>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</si>
  <si>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</si>
  <si>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</si>
  <si>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</si>
  <si>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</si>
  <si>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</si>
  <si>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</si>
  <si>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</si>
  <si>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</si>
  <si>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</si>
  <si>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</si>
  <si>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</si>
  <si>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</si>
  <si>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</si>
  <si>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</si>
  <si>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</si>
  <si>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</si>
  <si>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</si>
  <si>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</si>
  <si>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</si>
  <si>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</si>
  <si>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</si>
  <si>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</si>
  <si>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</si>
  <si>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</si>
  <si>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</si>
  <si>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</si>
  <si>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</si>
  <si>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</si>
  <si>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</si>
  <si>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</si>
  <si>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</si>
  <si>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</si>
  <si>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</si>
  <si>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</si>
  <si>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</si>
  <si>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</si>
  <si>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</si>
  <si>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</si>
  <si>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</si>
  <si>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</si>
  <si>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</si>
  <si>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</si>
  <si>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</si>
  <si>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</si>
  <si>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</si>
  <si>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</si>
  <si>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</si>
  <si>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</si>
  <si>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</si>
  <si>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</si>
  <si>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</si>
  <si>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</si>
  <si>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</si>
  <si>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</si>
  <si>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</si>
  <si>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</si>
  <si>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</si>
  <si>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</si>
  <si>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</si>
  <si>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</si>
  <si>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</si>
  <si>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</si>
  <si>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</si>
  <si>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</si>
  <si>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</si>
  <si>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</si>
  <si>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</si>
  <si>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</si>
  <si>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</si>
  <si>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</si>
  <si>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</si>
  <si>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</si>
  <si>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</si>
  <si>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</si>
  <si>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</si>
  <si>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</si>
  <si>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</si>
  <si>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</si>
  <si>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</si>
  <si>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</si>
  <si>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</si>
  <si>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</si>
  <si>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</si>
  <si>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</si>
  <si>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</si>
  <si>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</si>
  <si>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</si>
  <si>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</si>
  <si>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</si>
  <si>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</si>
  <si>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</si>
  <si>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</si>
  <si>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</si>
  <si>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</si>
  <si>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</si>
  <si>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</si>
  <si>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</si>
  <si>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</si>
  <si>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</si>
  <si>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</si>
  <si>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</si>
  <si>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</si>
  <si>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</si>
  <si>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</si>
  <si>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</si>
  <si>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</si>
  <si>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</si>
  <si>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</si>
  <si>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</si>
  <si>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</si>
  <si>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</si>
  <si>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</si>
  <si>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</si>
  <si>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</si>
  <si>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</si>
  <si>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</si>
  <si>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</si>
  <si>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</si>
  <si>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</si>
  <si>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</si>
  <si>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</si>
  <si>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</si>
  <si>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</si>
  <si>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</si>
  <si>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</si>
  <si>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</si>
  <si>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</si>
  <si>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</si>
  <si>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</si>
  <si>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</si>
  <si>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</si>
  <si>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</si>
  <si>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</si>
  <si>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</si>
  <si>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</si>
  <si>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</si>
  <si>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</si>
  <si>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</si>
  <si>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</si>
  <si>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</si>
  <si>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</si>
  <si>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</si>
  <si>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</si>
  <si>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</si>
  <si>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</si>
  <si>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</si>
  <si>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</si>
  <si>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</si>
  <si>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</si>
  <si>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</si>
  <si>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</si>
  <si>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</si>
  <si>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</si>
  <si>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</si>
  <si>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</si>
  <si>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</si>
  <si>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</si>
  <si>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</si>
  <si>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</si>
  <si>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</si>
  <si>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</si>
  <si>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</si>
  <si>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</si>
  <si>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</si>
  <si>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</si>
  <si>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</si>
  <si>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</si>
  <si>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</si>
  <si>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</si>
  <si>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</si>
  <si>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</si>
  <si>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</si>
  <si>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</si>
  <si>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</si>
  <si>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</si>
  <si>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</si>
  <si>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</si>
  <si>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</si>
  <si>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</si>
  <si>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</si>
  <si>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</si>
  <si>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</si>
  <si>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</si>
  <si>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</si>
  <si>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</si>
  <si>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</si>
  <si>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</si>
  <si>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</si>
  <si>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</si>
  <si>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</si>
  <si>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</si>
  <si>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</si>
  <si>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</si>
  <si>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</si>
  <si>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</si>
  <si>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</si>
  <si>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</si>
  <si>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</si>
  <si>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</si>
  <si>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</si>
  <si>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</si>
  <si>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</si>
  <si>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</si>
  <si>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</si>
  <si>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</si>
  <si>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</si>
  <si>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</si>
  <si>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</si>
  <si>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</si>
  <si>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</si>
  <si>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</si>
  <si>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</si>
  <si>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</si>
  <si>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</si>
  <si>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</si>
  <si>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</si>
  <si>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</si>
  <si>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</si>
  <si>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</si>
  <si>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</si>
  <si>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</si>
  <si>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</si>
  <si>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</si>
  <si>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</si>
  <si>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</si>
  <si>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</si>
  <si>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</si>
  <si>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</si>
  <si>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</si>
  <si>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</si>
  <si>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</si>
  <si>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</si>
  <si>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</si>
  <si>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</si>
  <si>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</si>
  <si>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</si>
  <si>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</si>
  <si>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</si>
  <si>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</si>
  <si>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</si>
  <si>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</si>
  <si>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</si>
  <si>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</si>
  <si>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</si>
  <si>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</si>
  <si>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</si>
  <si>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</si>
  <si>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</si>
  <si>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</si>
  <si>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</si>
  <si>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</si>
  <si>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</si>
  <si>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</si>
  <si>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</si>
  <si>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</si>
  <si>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</si>
  <si>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</si>
  <si>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</si>
  <si>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</si>
  <si>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</si>
  <si>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</si>
  <si>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</si>
  <si>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</si>
  <si>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</si>
  <si>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</si>
  <si>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</si>
  <si>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</si>
  <si>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</si>
  <si>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</si>
  <si>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</si>
  <si>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</si>
  <si>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</si>
  <si>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</si>
  <si>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</si>
  <si>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</si>
  <si>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</si>
  <si>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</si>
  <si>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</si>
  <si>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</si>
  <si>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</si>
  <si>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</si>
  <si>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</si>
  <si>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</si>
  <si>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</si>
  <si>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</si>
  <si>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</si>
  <si>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</si>
  <si>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</si>
  <si>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</si>
  <si>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</si>
  <si>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</si>
  <si>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</si>
  <si>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</si>
  <si>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</si>
  <si>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</si>
  <si>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</si>
  <si>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</si>
  <si>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</si>
  <si>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</si>
  <si>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</si>
  <si>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</si>
  <si>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</si>
  <si>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</si>
  <si>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</si>
  <si>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</si>
  <si>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</si>
  <si>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</si>
  <si>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</si>
  <si>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</si>
  <si>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</si>
  <si>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</si>
  <si>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</si>
  <si>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</si>
  <si>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</si>
  <si>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</si>
  <si>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</si>
  <si>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</si>
  <si>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</si>
  <si>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</si>
  <si>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</si>
  <si>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</si>
  <si>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</si>
  <si>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</si>
  <si>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</si>
  <si>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</si>
  <si>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</si>
  <si>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</si>
  <si>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</si>
  <si>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</si>
  <si>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</si>
  <si>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</si>
  <si>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</si>
  <si>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</si>
  <si>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</si>
  <si>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</si>
  <si>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</si>
  <si>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</si>
  <si>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</si>
  <si>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</si>
  <si>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</si>
  <si>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</si>
  <si>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</si>
  <si>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</si>
  <si>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</si>
  <si>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</si>
  <si>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</si>
  <si>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</si>
  <si>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</si>
  <si>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</si>
  <si>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</si>
  <si>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</si>
  <si>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</si>
  <si>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</si>
  <si>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</si>
  <si>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</si>
  <si>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</si>
  <si>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</si>
  <si>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</si>
  <si>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</si>
  <si>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</si>
  <si>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</si>
  <si>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</si>
  <si>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</si>
  <si>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</si>
  <si>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</si>
  <si>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</si>
  <si>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</si>
  <si>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</si>
  <si>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</si>
  <si>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</si>
  <si>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</si>
  <si>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</si>
  <si>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</si>
  <si>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</si>
  <si>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</si>
  <si>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</si>
  <si>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</si>
  <si>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</si>
  <si>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</si>
  <si>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</si>
  <si>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</si>
  <si>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</si>
  <si>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</si>
  <si>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</si>
  <si>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</si>
  <si>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</si>
  <si>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</si>
  <si>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</si>
  <si>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</si>
  <si>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</si>
  <si>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</si>
  <si>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</si>
  <si>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</si>
  <si>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</si>
  <si>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</si>
  <si>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</si>
  <si>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</si>
  <si>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</si>
  <si>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</si>
  <si>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</si>
  <si>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</si>
  <si>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</si>
  <si>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</si>
  <si>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</si>
  <si>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</si>
  <si>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</si>
  <si>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</si>
  <si>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</si>
  <si>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</si>
  <si>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</si>
  <si>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</si>
  <si>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</si>
  <si>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</si>
  <si>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</si>
  <si>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</si>
  <si>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</si>
  <si>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</si>
  <si>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</si>
  <si>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</si>
  <si>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</si>
  <si>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</si>
  <si>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</si>
  <si>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</si>
  <si>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</si>
  <si>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</si>
  <si>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</si>
  <si>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</si>
  <si>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</si>
  <si>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</si>
  <si>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</si>
  <si>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</si>
  <si>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</si>
  <si>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</si>
  <si>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</si>
  <si>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</si>
  <si>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</si>
  <si>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</si>
  <si>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</si>
  <si>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</si>
  <si>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</si>
  <si>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</si>
  <si>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</si>
  <si>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</si>
  <si>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</si>
  <si>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</si>
  <si>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</si>
  <si>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</si>
  <si>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</si>
  <si>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</si>
  <si>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</si>
  <si>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</si>
  <si>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</si>
  <si>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</si>
  <si>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</si>
  <si>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</si>
  <si>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</si>
  <si>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</si>
  <si>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</si>
  <si>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</si>
  <si>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</si>
  <si>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</si>
  <si>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</si>
  <si>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</si>
  <si>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</si>
  <si>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</si>
  <si>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</si>
  <si>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</si>
  <si>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</si>
  <si>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</si>
  <si>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</si>
  <si>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</si>
  <si>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</si>
  <si>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</si>
  <si>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</si>
  <si>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</si>
  <si>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</si>
  <si>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</si>
  <si>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</si>
  <si>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</si>
  <si>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</si>
  <si>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</si>
  <si>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</si>
  <si>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</si>
  <si>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</si>
  <si>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</si>
  <si>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</si>
  <si>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</si>
  <si>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</si>
  <si>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</si>
  <si>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</si>
  <si>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</si>
  <si>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</si>
  <si>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</si>
  <si>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</si>
  <si>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</si>
  <si>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</si>
  <si>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</si>
  <si>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</si>
  <si>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</si>
  <si>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</si>
  <si>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</si>
  <si>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</si>
  <si>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</si>
  <si>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</si>
  <si>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</si>
  <si>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</si>
  <si>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</si>
  <si>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</si>
  <si>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</si>
  <si>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</si>
  <si>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</si>
  <si>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</si>
  <si>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</si>
  <si>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</si>
  <si>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</si>
  <si>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</si>
  <si>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</si>
  <si>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</si>
  <si>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</si>
  <si>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</si>
  <si>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</si>
  <si>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</si>
  <si>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</si>
  <si>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</si>
  <si>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</si>
  <si>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</si>
  <si>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</si>
  <si>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</si>
  <si>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</si>
  <si>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</si>
  <si>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</si>
  <si>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</si>
  <si>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</si>
  <si>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</si>
  <si>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</si>
  <si>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</si>
  <si>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</si>
  <si>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</si>
  <si>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</si>
  <si>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</si>
  <si>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</si>
  <si>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</si>
  <si>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</si>
  <si>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</si>
  <si>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</si>
  <si>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</si>
  <si>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</si>
  <si>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</si>
  <si>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</si>
  <si>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</si>
  <si>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</si>
  <si>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</si>
  <si>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</si>
  <si>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</si>
  <si>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</si>
  <si>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</si>
  <si>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</si>
  <si>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</si>
  <si>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</si>
  <si>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</si>
  <si>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</si>
  <si>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</si>
  <si>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</si>
  <si>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</si>
  <si>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</si>
  <si>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</si>
  <si>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</si>
  <si>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</si>
  <si>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</si>
  <si>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</si>
  <si>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</si>
  <si>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</si>
  <si>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</si>
  <si>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</si>
  <si>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</si>
  <si>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</si>
  <si>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</si>
  <si>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</si>
  <si>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</si>
  <si>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</si>
  <si>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</si>
  <si>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</si>
  <si>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</si>
  <si>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</si>
  <si>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</si>
  <si>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</si>
  <si>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</si>
  <si>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</si>
  <si>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</si>
  <si>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</si>
  <si>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</si>
  <si>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</si>
  <si>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</si>
  <si>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</si>
  <si>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</si>
  <si>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</si>
  <si>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</si>
  <si>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</si>
  <si>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</si>
  <si>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</si>
  <si>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</si>
  <si>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</si>
  <si>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</si>
  <si>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</si>
  <si>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</si>
  <si>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</si>
  <si>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</si>
  <si>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</si>
  <si>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</si>
  <si>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</si>
  <si>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</si>
  <si>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</si>
  <si>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</si>
  <si>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</si>
  <si>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</si>
  <si>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</si>
  <si>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</si>
  <si>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</si>
  <si>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</si>
  <si>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</si>
  <si>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</si>
  <si>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</si>
  <si>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</si>
  <si>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</si>
  <si>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</si>
  <si>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</si>
  <si>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</si>
  <si>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</si>
  <si>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</si>
  <si>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</si>
  <si>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</si>
  <si>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</si>
  <si>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</si>
  <si>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</si>
  <si>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</si>
  <si>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</si>
  <si>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</si>
  <si>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</si>
  <si>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</si>
  <si>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</si>
  <si>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</si>
  <si>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</si>
  <si>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</si>
  <si>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</si>
  <si>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</si>
  <si>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</si>
  <si>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</si>
  <si>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</si>
  <si>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</si>
  <si>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</si>
  <si>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</si>
  <si>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</si>
  <si>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</si>
  <si>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</si>
  <si>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</si>
  <si>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</si>
  <si>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</si>
  <si>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</si>
  <si>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</si>
  <si>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</si>
  <si>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</si>
  <si>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</si>
  <si>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</si>
  <si>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</si>
  <si>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</si>
  <si>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</si>
  <si>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</si>
  <si>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</si>
  <si>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</si>
  <si>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</si>
  <si>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</si>
  <si>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</si>
  <si>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</si>
  <si>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</si>
  <si>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</si>
  <si>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</si>
  <si>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</si>
  <si>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</si>
  <si>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</si>
  <si>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</si>
  <si>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</si>
  <si>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</si>
  <si>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</si>
  <si>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</si>
  <si>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</si>
  <si>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</si>
  <si>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</si>
  <si>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</si>
  <si>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</si>
  <si>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</si>
  <si>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</si>
  <si>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</si>
  <si>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</si>
  <si>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</si>
  <si>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</si>
  <si>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</si>
  <si>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</si>
  <si>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</si>
  <si>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</si>
  <si>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</si>
  <si>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</si>
  <si>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</si>
  <si>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</si>
  <si>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</si>
  <si>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</si>
  <si>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</si>
  <si>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</si>
  <si>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</si>
  <si>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</si>
  <si>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</si>
  <si>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</si>
  <si>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</si>
  <si>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</si>
  <si>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</si>
  <si>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</si>
  <si>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</si>
  <si>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</si>
  <si>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</si>
  <si>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</si>
  <si>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</si>
  <si>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</si>
  <si>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</si>
  <si>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</si>
  <si>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</si>
  <si>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</si>
  <si>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</si>
  <si>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</si>
  <si>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</si>
  <si>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</si>
  <si>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</si>
  <si>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</si>
  <si>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</si>
  <si>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</si>
  <si>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</si>
  <si>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</si>
  <si>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</si>
  <si>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</si>
  <si>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</si>
  <si>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</si>
  <si>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</si>
  <si>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</si>
  <si>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</si>
  <si>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</si>
  <si>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</si>
  <si>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</si>
  <si>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</si>
  <si>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</si>
  <si>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</si>
  <si>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</si>
  <si>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</si>
  <si>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</si>
  <si>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</si>
  <si>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</si>
  <si>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</si>
  <si>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</si>
  <si>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</si>
  <si>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</si>
  <si>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</si>
  <si>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</si>
  <si>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</si>
  <si>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</si>
  <si>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</si>
  <si>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</si>
  <si>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</si>
  <si>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</si>
  <si>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</si>
  <si>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</si>
  <si>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</si>
  <si>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</si>
  <si>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</si>
  <si>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</si>
  <si>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</si>
  <si>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</si>
  <si>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</si>
  <si>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</si>
  <si>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</si>
  <si>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</si>
  <si>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</si>
  <si>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</si>
  <si>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</si>
  <si>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</si>
  <si>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</si>
  <si>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</si>
  <si>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</si>
  <si>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</si>
  <si>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</si>
  <si>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</si>
  <si>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</si>
  <si>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</si>
  <si>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</si>
  <si>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</si>
  <si>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</si>
  <si>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</si>
  <si>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</si>
  <si>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</si>
  <si>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</si>
  <si>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</si>
  <si>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</si>
  <si>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</si>
  <si>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</si>
  <si>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</si>
  <si>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</si>
  <si>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</si>
  <si>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</si>
  <si>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</si>
  <si>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</si>
  <si>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</si>
  <si>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</si>
  <si>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</si>
  <si>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</si>
  <si>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</si>
  <si>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</si>
  <si>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</si>
  <si>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</si>
  <si>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</si>
  <si>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</si>
  <si>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</si>
  <si>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</si>
  <si>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</si>
  <si>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</si>
  <si>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</si>
  <si>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</si>
  <si>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</si>
  <si>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</si>
  <si>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</si>
  <si>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</si>
  <si>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</si>
  <si>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</si>
  <si>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</si>
  <si>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</si>
  <si>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</si>
  <si>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</si>
  <si>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</si>
  <si>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</si>
  <si>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</si>
  <si>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</si>
  <si>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</si>
  <si>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</si>
  <si>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</si>
  <si>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</si>
  <si>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</si>
  <si>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</si>
  <si>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</si>
  <si>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</si>
  <si>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</si>
  <si>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</si>
  <si>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</si>
  <si>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</si>
  <si>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</si>
  <si>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</si>
  <si>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</si>
  <si>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</si>
  <si>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</si>
  <si>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</si>
  <si>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</si>
  <si>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</si>
  <si>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</si>
  <si>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</si>
  <si>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</si>
  <si>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</si>
  <si>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</si>
  <si>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</si>
  <si>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</si>
  <si>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</si>
  <si>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</si>
  <si>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</si>
  <si>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</si>
  <si>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</si>
  <si>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</si>
  <si>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</si>
  <si>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</si>
  <si>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</si>
  <si>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</si>
  <si>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</si>
  <si>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</si>
  <si>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</si>
  <si>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</si>
  <si>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</si>
  <si>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</si>
  <si>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</si>
  <si>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</si>
  <si>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</si>
  <si>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</si>
  <si>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</si>
  <si>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</si>
  <si>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</si>
  <si>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</si>
  <si>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</si>
  <si>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</si>
  <si>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</si>
  <si>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</si>
  <si>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</si>
  <si>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</si>
  <si>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</si>
  <si>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</si>
  <si>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</si>
  <si>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</si>
  <si>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</si>
  <si>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</si>
  <si>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</si>
  <si>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</si>
  <si>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</si>
  <si>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</si>
  <si>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</si>
  <si>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</si>
  <si>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</si>
  <si>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</si>
  <si>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</si>
  <si>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</si>
  <si>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</si>
  <si>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</si>
  <si>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</si>
  <si>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</si>
  <si>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</si>
  <si>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</si>
  <si>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</si>
  <si>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</si>
  <si>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</si>
  <si>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</si>
  <si>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</si>
  <si>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</si>
  <si>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</si>
  <si>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</si>
  <si>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</si>
  <si>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</si>
  <si>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</si>
  <si>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</si>
  <si>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</si>
  <si>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</si>
  <si>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</si>
  <si>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</si>
  <si>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</si>
  <si>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</si>
  <si>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</si>
  <si>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</si>
  <si>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</si>
  <si>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</si>
  <si>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</si>
  <si>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</si>
  <si>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</si>
  <si>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</si>
  <si>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</si>
  <si>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</si>
  <si>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</si>
  <si>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</si>
  <si>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</si>
  <si>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</si>
  <si>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</si>
  <si>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</si>
  <si>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</si>
  <si>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</si>
  <si>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</si>
  <si>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</si>
  <si>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</si>
  <si>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</si>
  <si>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</si>
  <si>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</si>
  <si>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</si>
  <si>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</si>
  <si>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</si>
  <si>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</si>
  <si>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</si>
  <si>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</si>
  <si>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</si>
  <si>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</si>
  <si>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</si>
  <si>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</si>
  <si>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</si>
  <si>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</si>
  <si>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</si>
  <si>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</si>
  <si>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</si>
  <si>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</si>
  <si>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</si>
  <si>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</si>
  <si>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</si>
  <si>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</si>
  <si>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</si>
  <si>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</si>
  <si>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</si>
  <si>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</si>
  <si>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</si>
  <si>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</si>
  <si>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</si>
  <si>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</si>
  <si>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</si>
  <si>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</si>
  <si>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</si>
  <si>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</si>
  <si>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</si>
  <si>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</si>
  <si>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</si>
  <si>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</si>
  <si>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</si>
  <si>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</si>
  <si>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</si>
  <si>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</si>
  <si>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</si>
  <si>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</si>
  <si>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</si>
  <si>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</si>
  <si>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</si>
  <si>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</si>
  <si>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</si>
  <si>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</si>
  <si>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</si>
  <si>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</si>
  <si>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</si>
  <si>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</si>
  <si>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</si>
  <si>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</si>
  <si>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</si>
  <si>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</si>
  <si>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</si>
  <si>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</si>
  <si>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</si>
  <si>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</si>
  <si>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</si>
  <si>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</si>
  <si>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</si>
  <si>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</si>
  <si>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</si>
  <si>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</si>
  <si>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</si>
  <si>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</si>
  <si>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</si>
  <si>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</si>
  <si>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</si>
  <si>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</si>
  <si>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</si>
  <si>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</si>
  <si>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</si>
  <si>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</si>
  <si>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</si>
  <si>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</si>
  <si>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</si>
  <si>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</si>
  <si>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</si>
  <si>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</si>
  <si>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</si>
  <si>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</si>
  <si>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</si>
  <si>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</si>
  <si>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</si>
  <si>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</si>
  <si>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</si>
  <si>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</si>
  <si>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</si>
  <si>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</si>
  <si>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</si>
  <si>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</si>
  <si>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</si>
  <si>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</si>
  <si>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</si>
  <si>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</si>
  <si>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</si>
  <si>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</si>
  <si>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</si>
  <si>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</si>
  <si>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</si>
  <si>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</si>
  <si>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</si>
  <si>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</si>
  <si>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</si>
  <si>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</si>
  <si>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</si>
  <si>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</si>
  <si>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</si>
  <si>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</si>
  <si>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</si>
  <si>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</si>
  <si>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</si>
  <si>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</si>
  <si>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</si>
  <si>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</si>
  <si>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</si>
  <si>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</si>
  <si>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</si>
  <si>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</si>
  <si>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</si>
  <si>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</si>
  <si>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</si>
  <si>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</si>
  <si>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</si>
  <si>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</si>
  <si>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</si>
  <si>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</si>
  <si>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</si>
  <si>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</si>
  <si>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</si>
  <si>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</si>
  <si>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</si>
  <si>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</si>
  <si>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</si>
  <si>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</si>
  <si>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</si>
  <si>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</si>
  <si>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</si>
  <si>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</si>
  <si>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</si>
  <si>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</si>
  <si>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</si>
  <si>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</si>
  <si>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</si>
  <si>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</si>
  <si>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</si>
  <si>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</si>
  <si>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</si>
  <si>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</si>
  <si>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</si>
  <si>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</si>
  <si>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</si>
  <si>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</si>
  <si>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</si>
  <si>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</si>
  <si>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</si>
  <si>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</si>
  <si>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</si>
  <si>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</si>
  <si>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</si>
  <si>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</si>
  <si>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</si>
  <si>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</si>
  <si>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</si>
  <si>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</si>
  <si>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</si>
  <si>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</si>
  <si>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</si>
  <si>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</si>
  <si>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</si>
  <si>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</si>
  <si>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</si>
  <si>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</si>
  <si>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</si>
  <si>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</si>
  <si>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</si>
  <si>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</si>
  <si>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</si>
  <si>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</si>
  <si>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</si>
  <si>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</si>
  <si>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</si>
  <si>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</si>
  <si>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</si>
  <si>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</si>
  <si>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</si>
  <si>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</si>
  <si>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</si>
  <si>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</si>
  <si>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</si>
  <si>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</si>
  <si>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</si>
  <si>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</si>
  <si>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</si>
  <si>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</si>
  <si>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</si>
  <si>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</si>
  <si>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</si>
  <si>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</si>
  <si>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</si>
  <si>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</si>
  <si>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</si>
  <si>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</si>
  <si>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</si>
  <si>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</si>
  <si>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</si>
  <si>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</si>
  <si>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</si>
  <si>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</si>
  <si>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</si>
  <si>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</si>
  <si>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</si>
  <si>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</si>
  <si>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</si>
  <si>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</si>
  <si>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</si>
  <si>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</si>
  <si>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</si>
  <si>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</si>
  <si>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</si>
  <si>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</si>
  <si>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</si>
  <si>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</si>
  <si>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</si>
  <si>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</si>
  <si>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</si>
  <si>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</si>
  <si>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</si>
  <si>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</si>
  <si>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</si>
  <si>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</si>
  <si>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</si>
  <si>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</si>
  <si>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</si>
  <si>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</si>
  <si>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</si>
  <si>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</si>
  <si>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</si>
  <si>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</si>
  <si>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</si>
  <si>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</si>
  <si>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</si>
  <si>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</si>
  <si>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</si>
  <si>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</si>
  <si>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</si>
  <si>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</si>
  <si>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</si>
  <si>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</si>
  <si>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</si>
  <si>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</si>
  <si>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</si>
  <si>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</si>
  <si>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</si>
  <si>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</si>
  <si>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</si>
  <si>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</si>
  <si>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</si>
  <si>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</si>
  <si>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</si>
  <si>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</si>
  <si>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</si>
  <si>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</si>
  <si>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</si>
  <si>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</si>
  <si>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</si>
  <si>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</si>
  <si>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</si>
  <si>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</si>
  <si>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</si>
  <si>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</si>
  <si>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</si>
  <si>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</si>
  <si>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</si>
  <si>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</si>
  <si>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</si>
  <si>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</si>
  <si>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</si>
  <si>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</si>
  <si>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</si>
  <si>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</si>
  <si>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</si>
  <si>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</si>
  <si>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</si>
  <si>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</si>
  <si>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</si>
  <si>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</si>
  <si>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</si>
  <si>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</si>
  <si>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</si>
  <si>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</si>
  <si>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</si>
  <si>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</si>
  <si>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</si>
  <si>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</si>
  <si>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</si>
  <si>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</si>
  <si>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</si>
  <si>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</si>
  <si>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</si>
  <si>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</si>
  <si>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</si>
  <si>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</si>
  <si>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</si>
  <si>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</si>
  <si>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</si>
  <si>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</si>
  <si>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</si>
  <si>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</si>
  <si>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</si>
  <si>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</si>
  <si>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</si>
  <si>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</si>
  <si>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</si>
  <si>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</si>
  <si>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</si>
  <si>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</si>
  <si>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</si>
  <si>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</si>
  <si>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</si>
  <si>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</si>
  <si>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</si>
  <si>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</si>
  <si>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</si>
  <si>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</si>
  <si>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</si>
  <si>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</si>
  <si>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</si>
  <si>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</si>
  <si>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</si>
  <si>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</si>
  <si>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</si>
  <si>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</si>
  <si>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</si>
  <si>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</si>
  <si>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</si>
  <si>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</si>
  <si>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</si>
  <si>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</si>
  <si>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</si>
  <si>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</si>
  <si>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</si>
  <si>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</si>
  <si>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</si>
  <si>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</si>
  <si>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</si>
  <si>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</si>
  <si>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</si>
  <si>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</si>
  <si>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</si>
  <si>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</si>
  <si>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</si>
  <si>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</si>
  <si>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</si>
  <si>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</si>
  <si>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</si>
  <si>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</si>
  <si>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</si>
  <si>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</si>
  <si>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</si>
  <si>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</si>
  <si>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</si>
  <si>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</si>
  <si>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</si>
  <si>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</si>
  <si>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</si>
  <si>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</si>
  <si>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</si>
  <si>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</si>
  <si>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</si>
  <si>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</si>
  <si>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</si>
  <si>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</si>
  <si>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</si>
  <si>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</si>
  <si>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</si>
  <si>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</si>
  <si>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</si>
  <si>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</si>
  <si>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</si>
  <si>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</si>
  <si>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</si>
  <si>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</si>
  <si>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</si>
  <si>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</si>
  <si>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</si>
  <si>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</si>
  <si>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</si>
  <si>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</si>
  <si>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</si>
  <si>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</si>
  <si>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</si>
  <si>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</si>
  <si>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</si>
  <si>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</si>
  <si>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</si>
  <si>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</si>
  <si>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</si>
  <si>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</si>
  <si>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</si>
  <si>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</si>
  <si>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</si>
  <si>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</si>
  <si>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</si>
  <si>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</si>
  <si>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</si>
  <si>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</si>
  <si>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</si>
  <si>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</si>
  <si>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</si>
  <si>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</si>
  <si>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</si>
  <si>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</si>
  <si>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</si>
  <si>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</si>
  <si>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</si>
  <si>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</si>
  <si>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</si>
  <si>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</si>
  <si>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</si>
  <si>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</si>
  <si>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</si>
  <si>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</si>
  <si>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</si>
  <si>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</si>
  <si>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</si>
  <si>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</si>
  <si>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</si>
  <si>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</si>
  <si>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</si>
  <si>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</si>
  <si>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</si>
  <si>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</si>
  <si>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</si>
  <si>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</si>
  <si>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</si>
  <si>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</si>
  <si>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</si>
  <si>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</si>
  <si>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</si>
  <si>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</si>
  <si>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</si>
  <si>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</si>
  <si>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</si>
  <si>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</si>
  <si>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</si>
  <si>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</si>
  <si>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</si>
  <si>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</si>
  <si>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</si>
  <si>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</si>
  <si>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</si>
  <si>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</si>
  <si>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</si>
  <si>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</si>
  <si>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</si>
  <si>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</si>
  <si>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</si>
  <si>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</si>
  <si>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</si>
  <si>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</si>
  <si>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</si>
  <si>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</si>
  <si>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</si>
  <si>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</si>
  <si>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</si>
  <si>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</si>
  <si>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</si>
  <si>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</si>
  <si>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</si>
  <si>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</si>
  <si>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</si>
  <si>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</si>
  <si>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</si>
  <si>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</si>
  <si>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</si>
  <si>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</si>
  <si>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</si>
  <si>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</si>
  <si>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</si>
  <si>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</si>
  <si>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</si>
  <si>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</si>
  <si>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</si>
  <si>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</si>
  <si>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</si>
  <si>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</si>
  <si>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</si>
  <si>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</si>
  <si>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</si>
  <si>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</si>
  <si>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</si>
  <si>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</si>
  <si>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</si>
  <si>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</si>
  <si>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</si>
  <si>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</si>
  <si>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</si>
  <si>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</si>
  <si>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</si>
  <si>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</si>
  <si>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</si>
  <si>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</si>
  <si>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</si>
  <si>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</si>
  <si>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</si>
  <si>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</si>
  <si>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</si>
  <si>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</si>
  <si>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</si>
  <si>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</si>
  <si>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</si>
  <si>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</si>
  <si>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</si>
  <si>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</si>
  <si>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</si>
  <si>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</si>
  <si>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</si>
  <si>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</si>
  <si>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</si>
  <si>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</si>
  <si>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</si>
  <si>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</si>
  <si>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</si>
  <si>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</si>
  <si>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</si>
  <si>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</si>
  <si>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</si>
  <si>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</si>
  <si>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</si>
  <si>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</si>
  <si>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</si>
  <si>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</si>
  <si>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</si>
  <si>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</si>
  <si>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</si>
  <si>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</si>
  <si>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</si>
  <si>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</si>
  <si>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</si>
  <si>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</si>
  <si>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</si>
  <si>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</si>
  <si>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</si>
  <si>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</si>
  <si>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</si>
  <si>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</si>
  <si>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</si>
  <si>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</si>
  <si>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</si>
  <si>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</si>
  <si>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</si>
  <si>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</si>
  <si>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</si>
  <si>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</si>
  <si>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</si>
  <si>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</si>
  <si>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</si>
  <si>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</si>
  <si>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</si>
  <si>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</si>
  <si>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</si>
  <si>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</si>
  <si>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</si>
  <si>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</si>
  <si>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</si>
  <si>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</si>
  <si>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</si>
  <si>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</si>
  <si>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</si>
  <si>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</si>
  <si>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</si>
  <si>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</si>
  <si>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</si>
  <si>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</si>
  <si>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</si>
  <si>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</si>
  <si>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</si>
  <si>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</si>
  <si>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</si>
  <si>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</si>
  <si>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</si>
  <si>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</si>
  <si>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</si>
  <si>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</si>
  <si>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</si>
  <si>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</si>
  <si>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</si>
  <si>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</si>
  <si>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</si>
  <si>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</si>
  <si>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</si>
  <si>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</si>
  <si>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</si>
  <si>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</si>
  <si>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</si>
  <si>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</si>
  <si>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</si>
  <si>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</si>
  <si>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</si>
  <si>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</si>
  <si>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</si>
  <si>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</si>
  <si>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</si>
  <si>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</si>
  <si>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</si>
  <si>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</si>
  <si>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</si>
  <si>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</si>
  <si>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</si>
  <si>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</si>
  <si>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</si>
  <si>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</si>
  <si>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</si>
  <si>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</si>
  <si>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</si>
  <si>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</si>
  <si>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</si>
  <si>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</si>
  <si>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</si>
  <si>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</si>
  <si>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</si>
  <si>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</si>
  <si>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</si>
  <si>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</si>
  <si>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</si>
  <si>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</si>
  <si>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</si>
  <si>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</si>
  <si>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</si>
  <si>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</si>
  <si>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</si>
  <si>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</si>
  <si>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</si>
  <si>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</si>
  <si>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</si>
  <si>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</si>
  <si>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</si>
  <si>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</si>
  <si>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</si>
  <si>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</si>
  <si>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</si>
  <si>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</si>
  <si>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</si>
  <si>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</si>
  <si>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</si>
  <si>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</si>
  <si>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</si>
  <si>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</si>
  <si>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</si>
  <si>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</si>
  <si>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</si>
  <si>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</si>
  <si>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</si>
  <si>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</si>
  <si>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</si>
  <si>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</si>
  <si>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</si>
  <si>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</si>
  <si>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</si>
  <si>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</si>
  <si>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</si>
  <si>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</si>
  <si>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</si>
  <si>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</si>
  <si>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</si>
  <si>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</si>
  <si>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</si>
  <si>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</si>
  <si>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</si>
  <si>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</si>
  <si>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</si>
  <si>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</si>
  <si>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</si>
  <si>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</si>
  <si>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</si>
  <si>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</si>
  <si>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</si>
  <si>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</si>
  <si>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</si>
  <si>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</si>
  <si>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</si>
  <si>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</si>
  <si>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</si>
  <si>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</si>
  <si>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</si>
  <si>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</si>
  <si>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</si>
  <si>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</si>
  <si>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</si>
  <si>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</si>
  <si>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</si>
  <si>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</si>
  <si>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</si>
  <si>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</si>
  <si>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</si>
  <si>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</si>
  <si>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</si>
  <si>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</si>
  <si>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</si>
  <si>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</si>
  <si>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</si>
  <si>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</si>
  <si>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</si>
  <si>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</si>
  <si>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</si>
  <si>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</si>
  <si>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</si>
  <si>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</si>
  <si>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</si>
  <si>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</si>
  <si>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</si>
  <si>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</si>
  <si>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</si>
  <si>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</si>
  <si>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</si>
  <si>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</si>
  <si>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</si>
  <si>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</si>
  <si>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</si>
  <si>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</si>
  <si>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</si>
  <si>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</si>
  <si>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</si>
  <si>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</si>
  <si>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</si>
  <si>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</si>
  <si>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</si>
  <si>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</si>
  <si>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</si>
  <si>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</si>
  <si>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</si>
  <si>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</si>
  <si>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</si>
  <si>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</si>
  <si>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</si>
  <si>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</si>
  <si>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</si>
  <si>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</si>
  <si>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</si>
  <si>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</si>
  <si>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</si>
  <si>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</si>
  <si>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</si>
  <si>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</si>
  <si>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</si>
  <si>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</si>
  <si>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</si>
  <si>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</si>
  <si>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</si>
  <si>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</si>
  <si>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</si>
  <si>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</si>
  <si>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</si>
  <si>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</si>
  <si>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</si>
  <si>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</si>
  <si>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</si>
  <si>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</si>
  <si>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</si>
  <si>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</si>
  <si>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</si>
  <si>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</si>
  <si>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</si>
  <si>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</si>
  <si>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</si>
  <si>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</si>
  <si>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</si>
  <si>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</si>
  <si>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</si>
  <si>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</si>
  <si>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</si>
  <si>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</si>
  <si>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</si>
  <si>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</si>
  <si>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</si>
  <si>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</si>
  <si>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</si>
  <si>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</si>
  <si>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</si>
  <si>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</si>
  <si>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</si>
  <si>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</si>
  <si>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</si>
  <si>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</si>
  <si>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</si>
  <si>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</si>
  <si>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</si>
  <si>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</si>
  <si>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</si>
  <si>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</si>
  <si>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</si>
  <si>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</si>
  <si>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</si>
  <si>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</si>
  <si>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</si>
  <si>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</si>
  <si>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</si>
  <si>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</si>
  <si>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</si>
  <si>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</si>
  <si>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</si>
  <si>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</si>
  <si>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</si>
  <si>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</si>
  <si>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</si>
  <si>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</si>
  <si>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</si>
  <si>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</si>
  <si>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</si>
  <si>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</si>
  <si>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</si>
  <si>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</si>
  <si>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</si>
  <si>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</si>
  <si>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</si>
  <si>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</si>
  <si>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</si>
  <si>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</si>
  <si>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</si>
  <si>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</si>
  <si>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</si>
  <si>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</si>
  <si>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</si>
  <si>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</si>
  <si>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</si>
  <si>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</si>
  <si>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</si>
  <si>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</si>
  <si>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</si>
  <si>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</si>
  <si>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</si>
  <si>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</si>
  <si>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</si>
  <si>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</si>
  <si>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</si>
  <si>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</si>
  <si>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</si>
  <si>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</si>
  <si>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</si>
  <si>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</si>
  <si>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</si>
  <si>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</si>
  <si>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</si>
  <si>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</si>
  <si>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</si>
  <si>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</si>
  <si>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</si>
  <si>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</si>
  <si>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</si>
  <si>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</si>
  <si>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</si>
  <si>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</si>
  <si>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</si>
  <si>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</si>
  <si>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</si>
  <si>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</si>
  <si>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</si>
  <si>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</si>
  <si>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</si>
  <si>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</si>
  <si>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</si>
  <si>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</si>
  <si>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</si>
  <si>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</si>
  <si>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</si>
  <si>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</si>
  <si>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</si>
  <si>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</si>
  <si>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</si>
  <si>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</si>
  <si>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</si>
  <si>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</si>
  <si>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</si>
  <si>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</si>
  <si>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</si>
  <si>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</si>
  <si>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</si>
  <si>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</si>
  <si>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</si>
  <si>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</si>
  <si>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</si>
  <si>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</si>
  <si>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</si>
  <si>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</si>
  <si>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</si>
  <si>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</si>
  <si>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</si>
  <si>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</si>
  <si>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</si>
  <si>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</si>
  <si>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</si>
  <si>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</si>
  <si>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</si>
  <si>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</si>
  <si>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</si>
  <si>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</si>
  <si>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</si>
  <si>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</si>
  <si>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</si>
  <si>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</si>
  <si>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</si>
  <si>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</si>
  <si>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</si>
  <si>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</si>
  <si>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</si>
  <si>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</si>
  <si>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</si>
  <si>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</si>
  <si>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</si>
  <si>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</si>
  <si>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</si>
  <si>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</si>
  <si>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</si>
  <si>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</si>
  <si>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</si>
  <si>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</si>
  <si>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</si>
  <si>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</si>
  <si>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</si>
  <si>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</si>
  <si>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</si>
  <si>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</si>
  <si>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</si>
  <si>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</si>
  <si>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</si>
  <si>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</si>
  <si>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</si>
  <si>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</si>
  <si>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</si>
  <si>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</si>
  <si>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</si>
  <si>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</si>
  <si>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</si>
  <si>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</si>
  <si>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</si>
  <si>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</si>
  <si>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</si>
  <si>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</si>
  <si>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</si>
  <si>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</si>
  <si>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</si>
  <si>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</si>
  <si>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</si>
  <si>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</si>
  <si>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</si>
  <si>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</si>
  <si>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</si>
  <si>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</si>
  <si>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</si>
  <si>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</si>
  <si>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</si>
  <si>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</si>
  <si>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</si>
  <si>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</si>
  <si>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</si>
  <si>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</si>
  <si>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</si>
  <si>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</si>
  <si>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</si>
  <si>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</si>
  <si>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</si>
  <si>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</si>
  <si>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</si>
  <si>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</si>
  <si>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</si>
  <si>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</si>
  <si>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</si>
  <si>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</si>
  <si>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</si>
  <si>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</si>
  <si>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</si>
  <si>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</si>
  <si>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</si>
  <si>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</si>
  <si>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</si>
  <si>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</si>
  <si>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</si>
  <si>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</si>
  <si>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</si>
  <si>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</si>
  <si>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</si>
  <si>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</si>
  <si>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</si>
  <si>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</si>
  <si>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</si>
  <si>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</si>
  <si>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</si>
  <si>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</si>
  <si>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</si>
  <si>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</si>
  <si>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</si>
  <si>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</si>
  <si>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</si>
  <si>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</si>
  <si>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</si>
  <si>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</si>
  <si>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</si>
  <si>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</si>
  <si>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</si>
  <si>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</si>
  <si>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</si>
  <si>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</si>
  <si>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</si>
  <si>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</si>
  <si>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</si>
  <si>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</si>
  <si>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</si>
  <si>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</si>
  <si>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</si>
  <si>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</si>
  <si>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</si>
  <si>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</si>
  <si>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</si>
  <si>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</si>
  <si>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</si>
  <si>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</si>
  <si>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</si>
  <si>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</si>
  <si>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</si>
  <si>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</si>
  <si>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</si>
  <si>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</si>
  <si>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</si>
  <si>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</si>
  <si>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</si>
  <si>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</si>
  <si>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</si>
  <si>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</si>
  <si>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</si>
  <si>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</si>
  <si>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</si>
  <si>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</si>
  <si>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</si>
  <si>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</si>
  <si>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</si>
  <si>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</si>
  <si>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</si>
  <si>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</si>
  <si>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</si>
  <si>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</si>
  <si>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</si>
  <si>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</si>
  <si>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</si>
  <si>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</si>
  <si>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</si>
  <si>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</si>
  <si>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</si>
  <si>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</si>
  <si>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</si>
  <si>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</si>
  <si>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</si>
  <si>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</si>
  <si>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</si>
  <si>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</si>
  <si>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</si>
  <si>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</si>
  <si>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</si>
  <si>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</si>
  <si>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</si>
  <si>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</si>
  <si>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</si>
  <si>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</si>
  <si>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</si>
  <si>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</si>
  <si>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</si>
  <si>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</si>
  <si>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</si>
  <si>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</si>
  <si>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</si>
  <si>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</si>
  <si>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</si>
  <si>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</si>
  <si>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</si>
  <si>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</si>
  <si>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</si>
  <si>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</si>
  <si>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</si>
  <si>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</si>
  <si>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</si>
  <si>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</si>
  <si>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</si>
  <si>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</si>
  <si>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</si>
  <si>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</si>
  <si>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</si>
  <si>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</si>
  <si>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</si>
  <si>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</si>
  <si>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</si>
  <si>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</si>
  <si>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</si>
  <si>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</si>
  <si>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</si>
  <si>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</si>
  <si>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</si>
  <si>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</si>
  <si>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</si>
  <si>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</si>
  <si>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</si>
  <si>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</si>
  <si>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</si>
  <si>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</si>
  <si>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</si>
  <si>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</si>
  <si>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</si>
  <si>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</si>
  <si>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</si>
  <si>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</si>
  <si>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</si>
  <si>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</si>
  <si>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</si>
  <si>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</si>
  <si>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</si>
  <si>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</si>
  <si>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</si>
  <si>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</si>
  <si>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</si>
  <si>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</si>
  <si>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</si>
  <si>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</si>
  <si>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</si>
  <si>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</si>
  <si>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</si>
  <si>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</si>
  <si>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</si>
  <si>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</si>
  <si>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</si>
  <si>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</si>
  <si>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</si>
  <si>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</si>
  <si>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</si>
  <si>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</si>
  <si>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</si>
  <si>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</si>
  <si>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</si>
  <si>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</si>
  <si>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</si>
  <si>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</si>
  <si>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</si>
  <si>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</si>
  <si>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</si>
  <si>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</si>
  <si>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</si>
  <si>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</si>
  <si>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</si>
  <si>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</si>
  <si>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</si>
  <si>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</si>
  <si>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</si>
  <si>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</si>
  <si>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</si>
  <si>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</si>
  <si>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</si>
  <si>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</si>
  <si>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</si>
  <si>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</si>
  <si>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</si>
  <si>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</si>
  <si>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</si>
  <si>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</si>
  <si>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</si>
  <si>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</si>
  <si>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</si>
  <si>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</si>
  <si>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</si>
  <si>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</si>
  <si>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</si>
  <si>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</si>
  <si>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</si>
  <si>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</si>
  <si>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</si>
  <si>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</si>
  <si>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</si>
  <si>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</si>
  <si>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</si>
  <si>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</si>
  <si>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</si>
  <si>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</si>
  <si>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</si>
  <si>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</si>
  <si>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</si>
  <si>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</si>
  <si>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</si>
  <si>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</si>
  <si>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</si>
  <si>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</si>
  <si>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</si>
  <si>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</si>
  <si>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</si>
  <si>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</si>
  <si>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</si>
  <si>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</si>
  <si>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</si>
  <si>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</si>
  <si>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</si>
  <si>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</si>
  <si>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</si>
  <si>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</si>
  <si>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</si>
  <si>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</si>
  <si>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</si>
  <si>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</si>
  <si>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</si>
  <si>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</si>
  <si>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</si>
  <si>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</si>
  <si>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</si>
  <si>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</si>
  <si>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</si>
  <si>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</si>
  <si>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</si>
  <si>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</si>
  <si>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</si>
  <si>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</si>
  <si>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</si>
  <si>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</si>
  <si>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</si>
  <si>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</si>
  <si>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</si>
  <si>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</si>
  <si>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</si>
  <si>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</si>
  <si>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</si>
  <si>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</si>
  <si>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</si>
  <si>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</si>
  <si>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</si>
  <si>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</si>
  <si>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</si>
  <si>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</si>
  <si>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</si>
  <si>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</si>
  <si>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</si>
  <si>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</si>
  <si>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</si>
  <si>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</si>
  <si>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</si>
  <si>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</si>
  <si>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</si>
  <si>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</si>
  <si>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</si>
  <si>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</si>
  <si>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</si>
  <si>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</si>
  <si>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</si>
  <si>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</si>
  <si>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</si>
  <si>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</si>
  <si>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</si>
  <si>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</si>
  <si>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</si>
  <si>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</si>
  <si>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</si>
  <si>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</si>
  <si>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</si>
  <si>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</si>
  <si>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</si>
  <si>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</si>
  <si>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</si>
  <si>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</si>
  <si>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</si>
  <si>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</si>
  <si>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</si>
  <si>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</si>
  <si>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</si>
  <si>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</si>
  <si>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</si>
  <si>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</si>
  <si>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</si>
  <si>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</si>
  <si>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</si>
  <si>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</si>
  <si>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</si>
  <si>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</si>
  <si>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</si>
  <si>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</si>
  <si>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</si>
  <si>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</si>
  <si>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</si>
  <si>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</si>
  <si>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</si>
  <si>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</si>
  <si>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</si>
  <si>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</si>
  <si>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</si>
  <si>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</si>
  <si>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</si>
  <si>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</si>
  <si>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</si>
  <si>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</si>
  <si>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</si>
  <si>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</si>
  <si>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</si>
  <si>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</si>
  <si>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</si>
  <si>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</si>
  <si>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</si>
  <si>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</si>
  <si>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</si>
  <si>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</si>
  <si>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</si>
  <si>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</si>
  <si>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</si>
  <si>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</si>
  <si>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</si>
  <si>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</si>
  <si>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</si>
  <si>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</si>
  <si>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</si>
  <si>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</si>
  <si>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</si>
  <si>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</si>
  <si>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</si>
  <si>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</si>
  <si>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</si>
  <si>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</si>
  <si>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</si>
  <si>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</si>
  <si>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</si>
  <si>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</si>
  <si>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</si>
  <si>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</si>
  <si>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</si>
  <si>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</si>
  <si>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</si>
  <si>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</si>
  <si>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</si>
  <si>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</si>
  <si>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</si>
  <si>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</si>
  <si>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</si>
  <si>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</si>
  <si>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</si>
  <si>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</si>
  <si>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</si>
  <si>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</si>
  <si>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</si>
  <si>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</si>
  <si>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</si>
  <si>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</si>
  <si>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</si>
  <si>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</si>
  <si>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</si>
  <si>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</si>
  <si>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</si>
  <si>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</si>
  <si>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</si>
  <si>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</si>
  <si>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</si>
  <si>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</si>
  <si>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</si>
  <si>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</si>
  <si>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</si>
  <si>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</si>
  <si>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</si>
  <si>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</si>
  <si>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</si>
  <si>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</si>
  <si>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</si>
  <si>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</si>
  <si>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</si>
  <si>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</si>
  <si>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</si>
  <si>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</si>
  <si>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</si>
  <si>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</si>
  <si>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</si>
  <si>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</si>
  <si>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</si>
  <si>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</si>
  <si>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</si>
  <si>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</si>
  <si>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</si>
  <si>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</si>
  <si>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</si>
  <si>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</si>
  <si>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</si>
  <si>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</si>
  <si>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</si>
  <si>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</si>
  <si>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</si>
  <si>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</si>
  <si>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</si>
  <si>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</si>
  <si>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</si>
  <si>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</si>
  <si>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</si>
  <si>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</si>
  <si>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</si>
  <si>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</si>
  <si>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</si>
  <si>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</si>
  <si>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</si>
  <si>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</si>
  <si>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</si>
  <si>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</si>
  <si>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</si>
  <si>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</si>
  <si>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</si>
  <si>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</si>
  <si>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</si>
  <si>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</si>
  <si>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</si>
  <si>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</si>
  <si>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</si>
  <si>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</si>
  <si>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</si>
  <si>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</si>
  <si>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</si>
  <si>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</si>
  <si>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</si>
  <si>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</si>
  <si>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</si>
  <si>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</si>
  <si>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</si>
  <si>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</si>
  <si>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</si>
  <si>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</si>
  <si>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</si>
  <si>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</si>
  <si>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</si>
  <si>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</si>
  <si>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</si>
  <si>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</si>
  <si>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</si>
  <si>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</si>
  <si>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</si>
  <si>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</si>
  <si>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</si>
  <si>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</si>
  <si>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</si>
  <si>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</si>
  <si>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</si>
  <si>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</si>
  <si>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</si>
  <si>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</si>
  <si>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</si>
  <si>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</si>
  <si>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</si>
  <si>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</si>
  <si>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</si>
  <si>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</si>
  <si>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</si>
  <si>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</si>
  <si>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</si>
  <si>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</si>
  <si>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</si>
  <si>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</si>
  <si>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</si>
  <si>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</si>
  <si>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</si>
  <si>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</si>
  <si>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</si>
  <si>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</si>
  <si>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</si>
  <si>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</si>
  <si>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</si>
  <si>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</si>
  <si>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</si>
  <si>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</si>
  <si>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</si>
  <si>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</si>
  <si>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</si>
  <si>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</si>
  <si>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</si>
  <si>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</si>
  <si>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</si>
  <si>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</si>
  <si>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</si>
  <si>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</si>
  <si>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</si>
  <si>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</si>
  <si>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</si>
  <si>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</si>
  <si>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</si>
  <si>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</si>
  <si>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</si>
  <si>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</si>
  <si>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</si>
  <si>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</si>
  <si>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</si>
  <si>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</si>
  <si>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</si>
  <si>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</si>
  <si>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</si>
  <si>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</si>
  <si>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</si>
  <si>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</si>
  <si>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</si>
  <si>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</si>
  <si>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</si>
  <si>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</si>
  <si>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</si>
  <si>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</si>
  <si>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</si>
  <si>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</si>
  <si>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</si>
  <si>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</si>
  <si>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</si>
  <si>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</si>
  <si>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</si>
  <si>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</si>
  <si>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</si>
  <si>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</si>
  <si>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</si>
  <si>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</si>
  <si>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</si>
  <si>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</si>
  <si>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</si>
  <si>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</si>
  <si>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</si>
  <si>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</si>
  <si>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</si>
  <si>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</si>
  <si>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</si>
  <si>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</si>
  <si>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</si>
  <si>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</si>
  <si>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</si>
  <si>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</si>
  <si>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</si>
  <si>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</si>
  <si>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</si>
  <si>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</si>
  <si>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</si>
  <si>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</si>
  <si>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</si>
  <si>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</si>
  <si>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</si>
  <si>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</si>
  <si>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</si>
  <si>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</si>
  <si>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</si>
  <si>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</si>
  <si>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</si>
  <si>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</si>
  <si>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</si>
  <si>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</si>
  <si>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</si>
  <si>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</si>
  <si>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</si>
  <si>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</si>
  <si>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</si>
  <si>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</si>
  <si>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</si>
  <si>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</si>
  <si>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</si>
  <si>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</si>
  <si>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</si>
  <si>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</si>
  <si>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</si>
  <si>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</si>
  <si>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</si>
  <si>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</si>
  <si>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</si>
  <si>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</si>
  <si>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</si>
  <si>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</si>
  <si>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</si>
  <si>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</si>
  <si>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</si>
  <si>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</si>
  <si>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</si>
  <si>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</si>
  <si>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</si>
  <si>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</si>
  <si>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</si>
  <si>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</si>
  <si>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</si>
  <si>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</si>
  <si>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</si>
  <si>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</si>
  <si>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</si>
  <si>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</si>
  <si>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</si>
  <si>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</si>
  <si>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</si>
  <si>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</si>
  <si>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</si>
  <si>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</si>
  <si>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</si>
  <si>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</si>
  <si>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</si>
  <si>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</si>
  <si>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</si>
  <si>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</si>
  <si>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</si>
  <si>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</si>
  <si>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</si>
  <si>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</si>
  <si>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</si>
  <si>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</si>
  <si>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</si>
  <si>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</si>
  <si>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</si>
  <si>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</si>
  <si>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</si>
  <si>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</si>
  <si>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</si>
  <si>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</si>
  <si>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</si>
  <si>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</si>
  <si>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</si>
  <si>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</si>
  <si>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</si>
  <si>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</si>
  <si>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</si>
  <si>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</si>
  <si>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</si>
  <si>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</si>
  <si>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</si>
  <si>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</si>
  <si>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</si>
  <si>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</si>
  <si>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</si>
  <si>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</si>
  <si>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</si>
  <si>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</si>
  <si>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</si>
  <si>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</si>
  <si>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</si>
  <si>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</si>
  <si>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</si>
  <si>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</si>
  <si>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</si>
  <si>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</si>
  <si>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</si>
  <si>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</si>
  <si>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</si>
  <si>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</si>
  <si>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</si>
  <si>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</si>
  <si>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</si>
  <si>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</si>
  <si>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</si>
  <si>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</si>
  <si>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</si>
  <si>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</si>
  <si>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</si>
  <si>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</si>
  <si>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</si>
  <si>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</si>
  <si>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</si>
  <si>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</si>
  <si>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</si>
  <si>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</si>
  <si>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</si>
  <si>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</si>
  <si>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</si>
  <si>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</si>
  <si>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</si>
  <si>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</si>
  <si>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</si>
  <si>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</si>
  <si>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</si>
  <si>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</si>
  <si>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</si>
  <si>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</si>
  <si>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</si>
  <si>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</si>
  <si>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</si>
  <si>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</si>
  <si>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</si>
  <si>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</si>
  <si>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</si>
  <si>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</si>
  <si>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</si>
  <si>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</si>
  <si>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</si>
  <si>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</si>
  <si>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</si>
  <si>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</si>
  <si>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</si>
  <si>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</si>
  <si>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</si>
  <si>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</si>
  <si>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</si>
  <si>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</si>
  <si>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</si>
  <si>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</si>
  <si>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</si>
  <si>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</si>
  <si>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</si>
  <si>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</si>
  <si>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</si>
  <si>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</si>
  <si>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</si>
  <si>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</si>
  <si>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</si>
  <si>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</si>
  <si>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</si>
  <si>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</si>
  <si>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</si>
  <si>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</si>
  <si>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</si>
  <si>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</si>
  <si>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</si>
  <si>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</si>
  <si>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</si>
  <si>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</si>
  <si>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</si>
  <si>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</si>
  <si>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</si>
  <si>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</si>
  <si>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</si>
  <si>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</si>
  <si>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</si>
  <si>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</si>
  <si>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</si>
  <si>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</si>
  <si>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</si>
  <si>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</si>
  <si>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</si>
  <si>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</si>
  <si>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</si>
  <si>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</si>
  <si>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</si>
  <si>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</si>
  <si>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</si>
  <si>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</si>
  <si>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</si>
  <si>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</si>
  <si>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</si>
  <si>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</si>
  <si>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</si>
  <si>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</si>
  <si>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</si>
  <si>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</si>
  <si>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</si>
  <si>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</si>
  <si>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</si>
  <si>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</si>
  <si>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</si>
  <si>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</si>
  <si>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</si>
  <si>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</si>
  <si>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</si>
  <si>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</si>
  <si>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</si>
  <si>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</si>
  <si>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</si>
  <si>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</si>
  <si>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</si>
  <si>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</si>
  <si>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</si>
  <si>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</si>
  <si>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</si>
  <si>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</si>
  <si>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</si>
  <si>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</si>
  <si>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</si>
  <si>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</si>
  <si>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</si>
  <si>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</si>
  <si>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</si>
  <si>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</si>
  <si>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</si>
  <si>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</si>
  <si>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</si>
  <si>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</si>
  <si>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</si>
  <si>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</si>
  <si>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</si>
  <si>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</si>
  <si>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</si>
  <si>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</si>
  <si>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</si>
  <si>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</si>
  <si>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</si>
  <si>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</si>
  <si>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</si>
  <si>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</si>
  <si>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</si>
  <si>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</si>
  <si>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</si>
  <si>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</si>
  <si>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</si>
  <si>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</si>
  <si>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</si>
  <si>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</si>
  <si>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</si>
  <si>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</si>
  <si>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</si>
  <si>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</si>
  <si>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</si>
  <si>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</si>
  <si>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</si>
  <si>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</si>
  <si>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</si>
  <si>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</si>
  <si>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</si>
  <si>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</si>
  <si>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</si>
  <si>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</si>
  <si>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</si>
  <si>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</si>
  <si>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</si>
  <si>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</si>
  <si>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</si>
  <si>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</si>
  <si>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</si>
  <si>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</si>
  <si>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</si>
  <si>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</si>
  <si>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</si>
  <si>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</si>
  <si>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</si>
  <si>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</si>
  <si>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</si>
  <si>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</si>
  <si>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</si>
  <si>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</si>
  <si>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</si>
  <si>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</si>
  <si>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</si>
  <si>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</si>
  <si>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</si>
  <si>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</si>
  <si>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</si>
  <si>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</si>
  <si>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</si>
  <si>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</si>
  <si>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</si>
  <si>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</si>
  <si>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</si>
  <si>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</si>
  <si>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</si>
  <si>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</si>
  <si>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</si>
  <si>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</si>
  <si>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</si>
  <si>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</si>
  <si>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</si>
  <si>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</si>
  <si>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</si>
  <si>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</si>
  <si>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</si>
  <si>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</si>
  <si>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</si>
  <si>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</si>
  <si>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</si>
  <si>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</si>
  <si>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</si>
  <si>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</si>
  <si>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</si>
  <si>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</si>
  <si>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</si>
  <si>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</si>
  <si>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</si>
  <si>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</si>
  <si>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</si>
  <si>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</si>
  <si>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</si>
  <si>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</si>
  <si>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</si>
  <si>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</si>
  <si>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</si>
  <si>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</si>
  <si>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</si>
  <si>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</si>
  <si>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</si>
  <si>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</si>
  <si>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</si>
  <si>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</si>
  <si>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</si>
  <si>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</si>
  <si>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</si>
  <si>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</si>
  <si>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</si>
  <si>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</si>
  <si>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</si>
  <si>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</si>
  <si>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</si>
  <si>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</si>
  <si>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</si>
  <si>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</si>
  <si>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</si>
  <si>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</si>
  <si>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</si>
  <si>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</si>
  <si>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</si>
  <si>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</si>
  <si>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</si>
  <si>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</si>
  <si>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</si>
  <si>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</si>
  <si>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</si>
  <si>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</si>
  <si>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</si>
  <si>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</si>
  <si>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</si>
  <si>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</si>
  <si>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</si>
  <si>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</si>
  <si>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</si>
  <si>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</si>
  <si>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</si>
  <si>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</si>
  <si>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</si>
  <si>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</si>
  <si>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</si>
  <si>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</si>
  <si>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</si>
  <si>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</si>
  <si>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</si>
  <si>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</si>
  <si>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</si>
  <si>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</si>
  <si>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</si>
  <si>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</si>
  <si>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</si>
  <si>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</si>
  <si>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</si>
  <si>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</si>
  <si>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</si>
  <si>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</si>
  <si>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</si>
  <si>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</si>
  <si>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</si>
  <si>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</si>
  <si>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</si>
  <si>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</si>
  <si>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</si>
  <si>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</si>
  <si>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</si>
  <si>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</si>
  <si>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</si>
  <si>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</si>
  <si>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</si>
  <si>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</si>
  <si>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</si>
  <si>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</si>
  <si>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</si>
  <si>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</si>
  <si>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</si>
  <si>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</si>
  <si>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</si>
  <si>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</si>
  <si>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</si>
  <si>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</si>
  <si>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</si>
  <si>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</si>
  <si>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</si>
  <si>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</si>
  <si>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</si>
  <si>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</si>
  <si>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</si>
  <si>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</si>
  <si>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</si>
  <si>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</si>
  <si>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</si>
  <si>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</si>
  <si>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</si>
  <si>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</si>
  <si>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</si>
  <si>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</si>
  <si>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</si>
  <si>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</si>
  <si>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</si>
  <si>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</si>
  <si>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</si>
  <si>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</si>
  <si>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</si>
  <si>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</si>
  <si>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</si>
  <si>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</si>
  <si>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</si>
  <si>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</si>
  <si>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</si>
  <si>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</si>
  <si>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</si>
  <si>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</si>
  <si>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</si>
  <si>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</si>
  <si>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</si>
  <si>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</si>
  <si>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</si>
  <si>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</si>
  <si>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</si>
  <si>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</si>
  <si>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</si>
  <si>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</si>
  <si>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</si>
  <si>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</si>
  <si>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</si>
  <si>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</si>
  <si>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</si>
  <si>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</si>
  <si>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</si>
  <si>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</si>
  <si>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</si>
  <si>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</si>
  <si>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</si>
  <si>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</si>
  <si>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</si>
  <si>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</si>
  <si>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</si>
  <si>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</si>
  <si>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</si>
  <si>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</si>
  <si>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</si>
  <si>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</si>
  <si>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</si>
  <si>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</si>
  <si>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</si>
  <si>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</si>
  <si>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</si>
  <si>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</si>
  <si>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</si>
  <si>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</si>
  <si>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</si>
  <si>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</si>
  <si>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</si>
  <si>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</si>
  <si>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</si>
  <si>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</si>
  <si>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</si>
  <si>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</si>
  <si>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</si>
  <si>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</si>
  <si>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</si>
  <si>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</si>
  <si>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</si>
  <si>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</si>
  <si>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</si>
  <si>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</si>
  <si>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</si>
  <si>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</si>
  <si>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</si>
  <si>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</si>
  <si>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</si>
  <si>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</si>
  <si>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</si>
  <si>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</si>
  <si>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</si>
  <si>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</si>
  <si>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</si>
  <si>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</si>
  <si>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</si>
  <si>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</si>
  <si>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</si>
  <si>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</si>
  <si>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</si>
  <si>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</si>
  <si>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</si>
  <si>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</si>
  <si>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</si>
  <si>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</si>
  <si>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</si>
  <si>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</si>
  <si>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</si>
  <si>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</si>
  <si>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</si>
  <si>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</si>
  <si>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</si>
  <si>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</si>
  <si>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</si>
  <si>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</si>
  <si>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</si>
  <si>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</si>
  <si>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</si>
  <si>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</si>
  <si>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</si>
  <si>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</si>
  <si>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</si>
  <si>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</si>
  <si>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</si>
  <si>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</si>
  <si>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</si>
  <si>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</si>
  <si>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</si>
  <si>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</si>
  <si>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</si>
  <si>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</si>
  <si>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</si>
  <si>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</si>
  <si>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</si>
  <si>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</si>
  <si>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</si>
  <si>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</si>
  <si>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</si>
  <si>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</si>
  <si>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</si>
  <si>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</si>
  <si>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</si>
  <si>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</si>
  <si>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</si>
  <si>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</si>
  <si>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</si>
  <si>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</si>
  <si>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</si>
  <si>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</si>
  <si>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</si>
  <si>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</si>
  <si>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</si>
  <si>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</si>
  <si>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</si>
  <si>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</si>
  <si>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</si>
  <si>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</si>
  <si>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</si>
  <si>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</si>
  <si>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</si>
  <si>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</si>
  <si>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</si>
  <si>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</si>
  <si>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</si>
  <si>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</si>
  <si>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</si>
  <si>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</si>
  <si>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</si>
  <si>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</si>
  <si>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</si>
  <si>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</si>
  <si>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</si>
  <si>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</si>
  <si>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</si>
  <si>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</si>
  <si>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</si>
  <si>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</si>
  <si>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</si>
  <si>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</si>
  <si>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</si>
  <si>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</si>
  <si>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</si>
  <si>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</si>
  <si>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</si>
  <si>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</si>
  <si>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</si>
  <si>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</si>
  <si>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</si>
  <si>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</si>
  <si>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</si>
  <si>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</si>
  <si>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</si>
  <si>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</si>
  <si>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</si>
  <si>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</si>
  <si>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</si>
  <si>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</si>
  <si>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</si>
  <si>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</si>
  <si>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</si>
  <si>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</si>
  <si>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</si>
  <si>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</si>
  <si>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</si>
  <si>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</si>
  <si>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</si>
  <si>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</si>
  <si>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</si>
  <si>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</si>
  <si>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</si>
  <si>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</si>
  <si>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</si>
  <si>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</si>
  <si>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</si>
  <si>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</si>
  <si>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</si>
  <si>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</si>
  <si>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</si>
  <si>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</si>
  <si>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</si>
  <si>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</si>
  <si>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</si>
  <si>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</si>
  <si>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</si>
  <si>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</si>
  <si>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</si>
  <si>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</si>
  <si>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</si>
  <si>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</si>
  <si>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</si>
  <si>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</si>
  <si>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</si>
  <si>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</si>
  <si>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</si>
  <si>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</si>
  <si>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</si>
  <si>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</si>
  <si>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</si>
  <si>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</si>
  <si>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</si>
  <si>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</si>
  <si>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</si>
  <si>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</si>
  <si>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</si>
  <si>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</si>
  <si>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</si>
  <si>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</si>
  <si>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</si>
  <si>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</si>
  <si>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</si>
  <si>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</si>
  <si>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</si>
  <si>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</si>
  <si>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</si>
  <si>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</si>
  <si>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</si>
  <si>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</si>
  <si>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</si>
  <si>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</si>
  <si>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</si>
  <si>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</si>
  <si>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</si>
  <si>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</si>
  <si>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</si>
  <si>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</si>
  <si>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</si>
  <si>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</si>
  <si>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</si>
  <si>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</si>
  <si>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</si>
  <si>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</si>
  <si>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</si>
  <si>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</si>
  <si>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</si>
  <si>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</si>
  <si>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</si>
  <si>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</si>
  <si>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</si>
  <si>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</si>
  <si>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</si>
  <si>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</si>
  <si>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</si>
  <si>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</si>
  <si>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</si>
  <si>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</si>
  <si>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</si>
  <si>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</si>
  <si>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</si>
  <si>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</si>
  <si>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</si>
  <si>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</si>
  <si>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</si>
  <si>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</si>
  <si>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</si>
  <si>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</si>
  <si>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</si>
  <si>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</si>
  <si>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</si>
  <si>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</si>
  <si>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</si>
  <si>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</si>
  <si>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</si>
  <si>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</si>
  <si>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</si>
  <si>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</si>
  <si>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</si>
  <si>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</si>
  <si>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</si>
  <si>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</si>
  <si>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</si>
  <si>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</si>
  <si>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</si>
  <si>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</si>
  <si>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</si>
  <si>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</si>
  <si>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</si>
  <si>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</si>
  <si>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</si>
  <si>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</si>
  <si>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</si>
  <si>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</si>
  <si>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</si>
  <si>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</si>
  <si>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</si>
  <si>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</si>
  <si>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</si>
  <si>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</si>
  <si>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</si>
  <si>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</si>
  <si>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</si>
  <si>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</si>
  <si>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</si>
  <si>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</si>
  <si>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</si>
  <si>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</si>
  <si>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</si>
  <si>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</si>
  <si>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</si>
  <si>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</si>
  <si>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</si>
  <si>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</si>
  <si>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</si>
  <si>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</si>
  <si>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</si>
  <si>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</si>
  <si>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</si>
  <si>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</si>
  <si>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</si>
  <si>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</si>
  <si>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</si>
  <si>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</si>
  <si>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</si>
  <si>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</si>
  <si>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</si>
  <si>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</si>
  <si>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</si>
  <si>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</si>
  <si>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</si>
  <si>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</si>
  <si>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</si>
  <si>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</si>
  <si>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</si>
  <si>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</si>
  <si>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</si>
  <si>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</si>
  <si>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</si>
  <si>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</si>
  <si>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</si>
  <si>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</si>
  <si>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</si>
  <si>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</si>
  <si>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</si>
  <si>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</si>
  <si>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</si>
  <si>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</si>
  <si>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</si>
  <si>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</si>
  <si>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</si>
  <si>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</si>
  <si>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</si>
  <si>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</si>
  <si>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</si>
  <si>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</si>
  <si>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</si>
  <si>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</si>
  <si>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</si>
  <si>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</si>
  <si>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</si>
  <si>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</si>
  <si>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</si>
  <si>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</si>
  <si>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</si>
  <si>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</si>
  <si>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</si>
  <si>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</si>
  <si>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</si>
  <si>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</si>
  <si>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</si>
  <si>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</si>
  <si>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</si>
  <si>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</si>
  <si>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</si>
  <si>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</si>
  <si>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</si>
  <si>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</si>
  <si>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</si>
  <si>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</si>
  <si>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</si>
  <si>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</si>
  <si>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</si>
  <si>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</si>
  <si>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</si>
  <si>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</si>
  <si>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</si>
  <si>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</si>
  <si>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</si>
  <si>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</si>
  <si>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</si>
  <si>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</si>
  <si>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</si>
  <si>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</si>
  <si>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</si>
  <si>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</si>
  <si>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</si>
  <si>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</si>
  <si>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</si>
  <si>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</si>
  <si>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</si>
  <si>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</si>
  <si>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</si>
  <si>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</si>
  <si>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</si>
  <si>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</si>
  <si>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</si>
  <si>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</si>
  <si>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</si>
  <si>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</si>
  <si>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</si>
  <si>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</si>
  <si>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</si>
  <si>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</si>
  <si>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</si>
  <si>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</si>
  <si>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</si>
  <si>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</si>
  <si>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</si>
  <si>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</si>
  <si>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</si>
  <si>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</si>
  <si>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</si>
  <si>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</si>
  <si>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</si>
  <si>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</si>
  <si>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</si>
  <si>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</si>
  <si>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</si>
  <si>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</si>
  <si>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</si>
  <si>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</si>
  <si>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</si>
  <si>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</si>
  <si>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</si>
  <si>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</si>
  <si>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</si>
  <si>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</si>
  <si>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</si>
  <si>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</si>
  <si>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</si>
  <si>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</si>
  <si>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</si>
  <si>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</si>
  <si>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</si>
  <si>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</si>
  <si>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</si>
  <si>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</si>
  <si>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</si>
  <si>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</si>
  <si>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</si>
  <si>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</si>
  <si>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</si>
  <si>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</si>
  <si>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</si>
  <si>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</si>
  <si>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</si>
  <si>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</si>
  <si>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</si>
  <si>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</si>
  <si>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</si>
  <si>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</si>
  <si>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</si>
  <si>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</si>
  <si>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</si>
  <si>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</si>
  <si>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</si>
  <si>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</si>
  <si>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</si>
  <si>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</si>
  <si>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</si>
  <si>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</si>
  <si>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</si>
  <si>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</si>
  <si>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</si>
  <si>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</si>
  <si>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</si>
  <si>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</si>
  <si>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</si>
  <si>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</si>
  <si>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</si>
  <si>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</si>
  <si>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</si>
  <si>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</si>
  <si>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</si>
  <si>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</si>
  <si>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</si>
  <si>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</si>
  <si>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</si>
  <si>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</si>
  <si>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</si>
  <si>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</si>
  <si>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</si>
  <si>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</si>
  <si>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</si>
  <si>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</si>
  <si>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</si>
  <si>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</si>
  <si>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</si>
  <si>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</si>
  <si>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</si>
  <si>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</si>
  <si>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</si>
  <si>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</si>
  <si>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</si>
  <si>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</si>
  <si>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</si>
  <si>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</si>
  <si>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</si>
  <si>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</si>
  <si>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</si>
  <si>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</si>
  <si>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</si>
  <si>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</si>
  <si>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</si>
  <si>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</si>
  <si>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</si>
  <si>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</si>
  <si>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</si>
  <si>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</si>
  <si>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</si>
  <si>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</si>
  <si>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</si>
  <si>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</si>
  <si>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</si>
  <si>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</si>
  <si>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</si>
  <si>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</si>
  <si>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</si>
  <si>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</si>
  <si>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</si>
  <si>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</si>
  <si>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</si>
  <si>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</si>
  <si>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</si>
  <si>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</si>
  <si>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</si>
  <si>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</si>
  <si>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</si>
  <si>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</si>
  <si>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</si>
  <si>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</si>
  <si>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</si>
  <si>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</si>
  <si>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</si>
  <si>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</si>
  <si>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</si>
  <si>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</si>
  <si>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</si>
  <si>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</si>
  <si>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</si>
  <si>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</si>
  <si>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</si>
  <si>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</si>
  <si>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</si>
  <si>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</si>
  <si>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</si>
  <si>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</si>
  <si>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</si>
  <si>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</si>
  <si>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</si>
  <si>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</si>
  <si>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</si>
  <si>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</si>
  <si>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</si>
  <si>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</si>
  <si>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</si>
  <si>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</si>
  <si>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</si>
  <si>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</si>
  <si>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</si>
  <si>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</si>
  <si>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</si>
  <si>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</si>
  <si>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</si>
  <si>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</si>
  <si>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</si>
  <si>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</si>
  <si>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</si>
  <si>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</si>
  <si>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</si>
  <si>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</si>
  <si>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</si>
  <si>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</si>
  <si>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</si>
  <si>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</si>
  <si>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</si>
  <si>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</si>
  <si>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</si>
  <si>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</si>
  <si>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</si>
  <si>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</si>
  <si>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</si>
  <si>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</si>
  <si>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</si>
  <si>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</si>
  <si>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</si>
  <si>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</si>
  <si>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</si>
  <si>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</si>
  <si>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</si>
  <si>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</si>
  <si>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</si>
  <si>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</si>
  <si>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</si>
  <si>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</si>
  <si>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</si>
  <si>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</si>
  <si>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</si>
  <si>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</si>
  <si>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</si>
  <si>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</si>
  <si>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</si>
  <si>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</si>
  <si>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</si>
  <si>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</si>
  <si>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</si>
  <si>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</si>
  <si>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</si>
  <si>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</si>
  <si>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</si>
  <si>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</si>
  <si>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</si>
  <si>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</si>
  <si>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</si>
  <si>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</si>
  <si>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</si>
  <si>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</si>
  <si>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</si>
  <si>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</si>
  <si>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</si>
  <si>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</si>
  <si>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</si>
  <si>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</si>
  <si>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</si>
  <si>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</si>
  <si>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</si>
  <si>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</si>
  <si>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</si>
  <si>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</si>
  <si>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</si>
  <si>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</si>
  <si>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</si>
  <si>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</si>
  <si>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</si>
  <si>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</si>
  <si>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</si>
  <si>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</si>
  <si>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</si>
  <si>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</si>
  <si>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</si>
  <si>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</si>
  <si>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</si>
  <si>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</si>
  <si>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</si>
  <si>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</si>
  <si>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</si>
  <si>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</si>
  <si>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</si>
  <si>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</si>
  <si>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</si>
  <si>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</si>
  <si>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</si>
  <si>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</si>
  <si>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</si>
  <si>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</si>
  <si>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</si>
  <si>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</si>
  <si>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</si>
  <si>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</si>
  <si>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</si>
  <si>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</si>
  <si>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</si>
  <si>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</si>
  <si>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</si>
  <si>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</si>
  <si>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</si>
  <si>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</si>
  <si>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</si>
  <si>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</si>
  <si>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</si>
  <si>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</si>
  <si>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</si>
  <si>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</si>
  <si>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</si>
  <si>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</si>
  <si>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</si>
  <si>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</si>
  <si>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</si>
  <si>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</si>
  <si>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</si>
  <si>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</si>
  <si>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</si>
  <si>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</si>
  <si>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</si>
  <si>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</si>
  <si>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</si>
  <si>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</si>
  <si>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</si>
  <si>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</si>
  <si>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</si>
  <si>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</si>
  <si>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</si>
  <si>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</si>
  <si>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</si>
  <si>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</si>
  <si>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</si>
  <si>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</si>
  <si>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</si>
  <si>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</si>
  <si>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</si>
  <si>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</si>
  <si>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</si>
  <si>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</si>
  <si>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</si>
  <si>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</si>
  <si>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</si>
  <si>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</si>
  <si>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</si>
  <si>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</si>
  <si>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</si>
  <si>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</si>
  <si>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</si>
  <si>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</si>
  <si>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</si>
  <si>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</si>
  <si>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</si>
  <si>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</si>
  <si>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</si>
  <si>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</si>
  <si>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</si>
  <si>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</si>
  <si>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</si>
  <si>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</si>
  <si>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</si>
  <si>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</si>
  <si>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</si>
  <si>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</si>
  <si>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</si>
  <si>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</si>
  <si>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</si>
  <si>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</si>
  <si>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</si>
  <si>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</si>
  <si>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</si>
  <si>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</si>
  <si>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</si>
  <si>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</si>
  <si>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</si>
  <si>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</si>
  <si>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</si>
  <si>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</si>
  <si>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</si>
  <si>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</si>
  <si>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</si>
  <si>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</si>
  <si>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</si>
  <si>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</si>
  <si>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</si>
  <si>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</si>
  <si>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</si>
  <si>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</si>
  <si>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</si>
  <si>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</si>
  <si>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</si>
  <si>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</si>
  <si>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</si>
  <si>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</si>
  <si>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</si>
  <si>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</si>
  <si>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</si>
  <si>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</si>
  <si>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</si>
  <si>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</si>
  <si>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</si>
  <si>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</si>
  <si>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</si>
  <si>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</si>
  <si>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</si>
  <si>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</si>
  <si>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</si>
  <si>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</si>
  <si>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</si>
  <si>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</si>
  <si>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</si>
  <si>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</si>
  <si>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</si>
  <si>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</si>
  <si>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</si>
  <si>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</si>
  <si>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</si>
  <si>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</si>
  <si>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</si>
  <si>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</si>
  <si>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</si>
  <si>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</si>
  <si>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</si>
  <si>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</si>
  <si>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</si>
  <si>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</si>
  <si>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</si>
  <si>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</si>
  <si>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</si>
  <si>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</si>
  <si>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</si>
  <si>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</si>
  <si>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</si>
  <si>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</si>
  <si>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</si>
  <si>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</si>
  <si>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</si>
  <si>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</si>
  <si>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</si>
  <si>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</si>
  <si>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</si>
  <si>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</si>
  <si>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</si>
  <si>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</si>
  <si>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</si>
  <si>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</si>
  <si>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</si>
  <si>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</si>
  <si>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</si>
  <si>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</si>
  <si>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</si>
  <si>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</si>
  <si>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</si>
  <si>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</si>
  <si>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</si>
  <si>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</si>
  <si>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</si>
  <si>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</si>
  <si>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</si>
  <si>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</si>
  <si>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</si>
  <si>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</si>
  <si>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</si>
  <si>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</si>
  <si>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</si>
  <si>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</si>
  <si>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</si>
  <si>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</si>
  <si>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</si>
  <si>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</si>
  <si>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</si>
  <si>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</si>
  <si>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</si>
  <si>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</si>
  <si>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</si>
  <si>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</si>
  <si>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</si>
  <si>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</si>
  <si>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</si>
  <si>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</si>
  <si>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</si>
  <si>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</si>
  <si>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</si>
  <si>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</si>
  <si>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</si>
  <si>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</si>
  <si>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</si>
  <si>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</si>
  <si>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</si>
  <si>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</si>
  <si>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</si>
  <si>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</si>
  <si>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</si>
  <si>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</si>
  <si>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</si>
  <si>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</si>
  <si>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</si>
  <si>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</si>
  <si>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</si>
  <si>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</si>
  <si>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</si>
  <si>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</si>
  <si>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</si>
  <si>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</si>
  <si>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</si>
  <si>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</si>
  <si>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</si>
  <si>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</si>
  <si>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</si>
  <si>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</si>
  <si>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</si>
  <si>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</si>
  <si>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</si>
  <si>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</si>
  <si>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</si>
  <si>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</si>
  <si>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</si>
  <si>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</si>
  <si>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</si>
  <si>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</si>
  <si>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</si>
  <si>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</si>
  <si>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</si>
  <si>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</si>
  <si>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</si>
  <si>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</si>
  <si>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</si>
  <si>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</si>
  <si>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</si>
  <si>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</si>
  <si>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</si>
  <si>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</si>
  <si>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</si>
  <si>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</si>
  <si>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</si>
  <si>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</si>
  <si>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</si>
  <si>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</si>
  <si>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</si>
  <si>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</si>
  <si>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</si>
  <si>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</si>
  <si>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</si>
  <si>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</si>
  <si>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</si>
  <si>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</si>
  <si>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</si>
  <si>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</si>
  <si>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</si>
  <si>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</si>
  <si>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</si>
  <si>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</si>
  <si>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</si>
  <si>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</si>
  <si>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</si>
  <si>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</si>
  <si>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</si>
  <si>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</si>
  <si>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</si>
  <si>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</si>
  <si>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</si>
  <si>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</si>
  <si>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</si>
  <si>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</si>
  <si>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</si>
  <si>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</si>
  <si>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</si>
  <si>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</si>
  <si>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</si>
  <si>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</si>
  <si>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</si>
  <si>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</si>
  <si>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</si>
  <si>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</si>
  <si>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</si>
  <si>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</si>
  <si>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</si>
  <si>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</si>
  <si>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</si>
  <si>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</si>
  <si>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</si>
  <si>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</si>
  <si>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</si>
  <si>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</si>
  <si>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</si>
  <si>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</si>
  <si>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</si>
  <si>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</si>
  <si>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</si>
  <si>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</si>
  <si>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</si>
  <si>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</si>
  <si>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</si>
  <si>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</si>
  <si>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</si>
  <si>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</si>
  <si>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</si>
  <si>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</si>
  <si>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</si>
  <si>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</si>
  <si>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</si>
  <si>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</si>
  <si>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</si>
  <si>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</si>
  <si>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</si>
  <si>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</si>
  <si>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</si>
  <si>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</si>
  <si>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</si>
  <si>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</si>
  <si>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</si>
  <si>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</si>
  <si>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</si>
  <si>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</si>
  <si>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</si>
  <si>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</si>
  <si>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</si>
  <si>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</si>
  <si>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</si>
  <si>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</si>
  <si>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</si>
  <si>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</si>
  <si>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</si>
  <si>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</si>
  <si>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</si>
  <si>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</si>
  <si>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</si>
  <si>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</si>
  <si>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</si>
  <si>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</si>
  <si>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</si>
  <si>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</si>
  <si>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</si>
  <si>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</si>
  <si>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</si>
  <si>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</si>
  <si>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</si>
  <si>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</si>
  <si>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</si>
  <si>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</si>
  <si>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</si>
  <si>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</si>
  <si>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</si>
  <si>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</si>
  <si>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</si>
  <si>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</si>
  <si>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</si>
  <si>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</si>
  <si>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</si>
  <si>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</si>
  <si>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</si>
  <si>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</si>
  <si>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</si>
  <si>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</si>
  <si>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</si>
  <si>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</si>
  <si>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</si>
  <si>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</si>
  <si>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</si>
  <si>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</si>
  <si>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</si>
  <si>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</si>
  <si>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</si>
  <si>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</si>
  <si>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</si>
  <si>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</si>
  <si>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</si>
  <si>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</si>
  <si>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</si>
  <si>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</si>
  <si>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</si>
  <si>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</si>
  <si>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</si>
  <si>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</si>
  <si>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</si>
  <si>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</si>
  <si>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</si>
  <si>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</si>
  <si>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</si>
  <si>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</si>
  <si>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</si>
  <si>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</si>
  <si>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</si>
  <si>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</si>
  <si>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</si>
  <si>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</si>
  <si>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</si>
  <si>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</si>
  <si>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</si>
  <si>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</si>
  <si>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</si>
  <si>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</si>
  <si>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</si>
  <si>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</si>
  <si>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</si>
  <si>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</si>
  <si>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</si>
  <si>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</si>
  <si>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</si>
  <si>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</si>
  <si>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</si>
  <si>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</si>
  <si>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</si>
  <si>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</si>
  <si>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</si>
  <si>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</si>
  <si>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</si>
  <si>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</si>
  <si>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</si>
  <si>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</si>
  <si>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</si>
  <si>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</si>
  <si>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</si>
  <si>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</si>
  <si>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</si>
  <si>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</si>
  <si>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</si>
  <si>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</si>
  <si>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</si>
  <si>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</si>
  <si>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</si>
  <si>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</si>
  <si>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</si>
  <si>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</si>
  <si>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</si>
  <si>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</si>
  <si>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</si>
  <si>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</si>
  <si>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</si>
  <si>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</si>
  <si>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</si>
  <si>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</si>
  <si>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</si>
  <si>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</si>
  <si>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</si>
  <si>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</si>
  <si>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</si>
  <si>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</si>
  <si>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</si>
  <si>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</si>
  <si>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</si>
  <si>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</si>
  <si>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</si>
  <si>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</si>
  <si>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</si>
  <si>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</si>
  <si>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</si>
  <si>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</si>
  <si>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</si>
  <si>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</si>
  <si>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</si>
  <si>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</si>
  <si>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</si>
  <si>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</si>
  <si>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</si>
  <si>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</si>
  <si>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</si>
  <si>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</si>
  <si>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</si>
  <si>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</si>
  <si>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</si>
  <si>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</si>
  <si>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</si>
  <si>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</si>
  <si>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</si>
  <si>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</si>
  <si>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</si>
  <si>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</si>
  <si>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</si>
  <si>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</si>
  <si>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</si>
  <si>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</si>
  <si>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</si>
  <si>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</si>
  <si>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</si>
  <si>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</si>
  <si>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</si>
  <si>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</si>
  <si>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</si>
  <si>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</si>
  <si>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</si>
  <si>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</si>
  <si>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</si>
  <si>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</si>
  <si>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</si>
  <si>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</si>
  <si>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</si>
  <si>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</si>
  <si>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</si>
  <si>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</si>
  <si>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</si>
  <si>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</si>
  <si>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</si>
  <si>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</si>
  <si>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</si>
  <si>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</si>
  <si>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</si>
  <si>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</si>
  <si>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</si>
  <si>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</si>
  <si>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</si>
  <si>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</si>
  <si>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</si>
  <si>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</si>
  <si>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</si>
  <si>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</si>
  <si>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</si>
  <si>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</si>
  <si>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</si>
  <si>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</si>
  <si>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</si>
  <si>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</si>
  <si>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</si>
  <si>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</si>
  <si>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</si>
  <si>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</si>
  <si>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</si>
  <si>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</si>
  <si>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</si>
  <si>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</si>
  <si>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</si>
  <si>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</si>
  <si>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</si>
  <si>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</si>
  <si>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</si>
  <si>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</si>
  <si>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</si>
  <si>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</si>
  <si>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</si>
  <si>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</si>
  <si>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</si>
  <si>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</si>
  <si>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</si>
  <si>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</si>
  <si>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</si>
  <si>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</si>
  <si>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</si>
  <si>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</si>
  <si>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</si>
  <si>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</si>
  <si>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</si>
  <si>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</si>
  <si>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</si>
  <si>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</si>
  <si>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</si>
  <si>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</si>
  <si>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</si>
  <si>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</si>
  <si>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</si>
  <si>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</si>
  <si>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</si>
  <si>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</si>
  <si>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</si>
  <si>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</si>
  <si>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</si>
  <si>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</si>
  <si>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</si>
  <si>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</si>
  <si>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</si>
  <si>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</si>
  <si>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</si>
  <si>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</si>
  <si>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</si>
  <si>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</si>
  <si>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</si>
  <si>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</si>
  <si>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</si>
  <si>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</si>
  <si>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</si>
  <si>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</si>
  <si>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</si>
  <si>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</si>
  <si>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</si>
  <si>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</si>
  <si>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</si>
  <si>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</si>
  <si>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</si>
  <si>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</si>
  <si>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</si>
  <si>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</si>
  <si>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</si>
  <si>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</si>
  <si>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</si>
  <si>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</si>
  <si>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</si>
  <si>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</si>
  <si>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</si>
  <si>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</si>
  <si>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</si>
  <si>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</si>
  <si>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</si>
  <si>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</si>
  <si>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</si>
  <si>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</si>
  <si>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</si>
  <si>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</si>
  <si>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</si>
  <si>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</si>
  <si>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</si>
  <si>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</si>
  <si>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</si>
  <si>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</si>
  <si>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</si>
  <si>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</si>
  <si>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</si>
  <si>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</si>
  <si>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</si>
  <si>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</si>
  <si>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</si>
  <si>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</si>
  <si>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</si>
  <si>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</si>
  <si>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</si>
  <si>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</si>
  <si>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</si>
  <si>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</si>
  <si>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</si>
  <si>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</si>
  <si>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</si>
  <si>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</si>
  <si>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</si>
  <si>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</si>
  <si>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</si>
  <si>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</si>
  <si>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</si>
  <si>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</si>
  <si>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</si>
  <si>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</si>
  <si>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</si>
  <si>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</si>
  <si>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</si>
  <si>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</si>
  <si>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</si>
  <si>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</si>
  <si>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</si>
  <si>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</si>
  <si>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</si>
  <si>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</si>
  <si>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</si>
  <si>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</si>
  <si>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</si>
  <si>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</si>
  <si>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</si>
  <si>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</si>
  <si>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</si>
  <si>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</si>
  <si>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</si>
  <si>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</si>
  <si>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</si>
  <si>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</si>
  <si>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</si>
  <si>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</si>
  <si>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</si>
  <si>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</si>
  <si>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</si>
  <si>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</si>
  <si>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</si>
  <si>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</si>
  <si>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</si>
  <si>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</si>
  <si>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</si>
  <si>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</si>
  <si>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</si>
  <si>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</si>
  <si>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</si>
  <si>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</si>
  <si>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</si>
  <si>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</si>
  <si>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</si>
  <si>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</si>
  <si>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</si>
  <si>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</si>
  <si>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</si>
  <si>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</si>
  <si>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</si>
  <si>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</si>
  <si>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</si>
  <si>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</si>
  <si>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</si>
  <si>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</si>
  <si>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</si>
  <si>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</si>
  <si>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</si>
  <si>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</si>
  <si>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</si>
  <si>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</si>
  <si>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</si>
  <si>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</si>
  <si>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</si>
  <si>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</si>
  <si>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</si>
  <si>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</si>
  <si>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</si>
  <si>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</si>
  <si>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</si>
  <si>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</si>
  <si>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</si>
  <si>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</si>
  <si>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</si>
  <si>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</si>
  <si>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</si>
  <si>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</si>
  <si>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</si>
  <si>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</si>
  <si>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</si>
  <si>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</si>
  <si>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</si>
  <si>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</si>
  <si>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</si>
  <si>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</si>
  <si>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</si>
  <si>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</si>
  <si>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</si>
  <si>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</si>
  <si>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</si>
  <si>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</si>
  <si>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</si>
  <si>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</si>
  <si>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</si>
  <si>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</si>
  <si>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</si>
  <si>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</si>
  <si>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</si>
  <si>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</si>
  <si>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</si>
  <si>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</si>
  <si>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</si>
  <si>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</si>
  <si>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</si>
  <si>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</si>
  <si>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</si>
  <si>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</si>
  <si>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</si>
  <si>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</si>
  <si>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</si>
  <si>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</si>
  <si>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</si>
  <si>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</si>
  <si>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</si>
  <si>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</si>
  <si>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</si>
  <si>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</si>
  <si>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</si>
  <si>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</si>
  <si>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</si>
  <si>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</si>
  <si>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</si>
  <si>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</si>
  <si>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</si>
  <si>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</si>
  <si>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</si>
  <si>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</si>
  <si>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</si>
  <si>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</si>
  <si>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</si>
  <si>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</si>
  <si>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</si>
  <si>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</si>
  <si>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</si>
  <si>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</si>
  <si>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</si>
  <si>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</si>
  <si>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</si>
  <si>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</si>
  <si>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</si>
  <si>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</si>
  <si>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</si>
  <si>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</si>
  <si>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</si>
  <si>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</si>
  <si>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</si>
  <si>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</si>
  <si>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</si>
  <si>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</si>
  <si>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</si>
  <si>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</si>
  <si>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</si>
  <si>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</si>
  <si>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</si>
  <si>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</si>
  <si>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</si>
  <si>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</si>
  <si>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</si>
  <si>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</si>
  <si>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</si>
  <si>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</si>
  <si>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</si>
  <si>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</si>
  <si>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</si>
  <si>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</si>
  <si>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</si>
  <si>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</si>
  <si>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</si>
  <si>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</si>
  <si>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</si>
  <si>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</si>
  <si>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</si>
  <si>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</si>
  <si>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</si>
  <si>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</si>
  <si>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</si>
  <si>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</si>
  <si>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</si>
  <si>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</si>
  <si>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</si>
  <si>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</si>
  <si>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</si>
  <si>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</si>
  <si>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</si>
  <si>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</si>
  <si>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</si>
  <si>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</si>
  <si>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</si>
  <si>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</si>
  <si>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</si>
  <si>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</si>
  <si>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</si>
  <si>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</si>
  <si>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</si>
  <si>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</si>
  <si>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</si>
  <si>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</si>
  <si>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</si>
  <si>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</si>
  <si>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</si>
  <si>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</si>
  <si>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</si>
  <si>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</si>
  <si>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</si>
  <si>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</si>
  <si>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</si>
  <si>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</si>
  <si>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</si>
  <si>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</si>
  <si>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</si>
  <si>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</si>
  <si>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</si>
  <si>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</si>
  <si>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</si>
  <si>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</si>
  <si>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</si>
  <si>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</si>
  <si>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</si>
  <si>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</si>
  <si>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</si>
  <si>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</si>
  <si>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</si>
  <si>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</si>
  <si>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</si>
  <si>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</si>
  <si>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</si>
  <si>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</si>
  <si>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</si>
  <si>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</si>
  <si>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</si>
  <si>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</si>
  <si>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</si>
  <si>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</si>
  <si>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</si>
  <si>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</si>
  <si>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</si>
  <si>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</si>
  <si>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</si>
  <si>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</si>
  <si>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</si>
  <si>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</si>
  <si>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</si>
  <si>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</si>
  <si>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</si>
  <si>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</si>
  <si>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</si>
  <si>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</si>
  <si>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</si>
  <si>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</si>
  <si>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</si>
  <si>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</si>
  <si>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</si>
  <si>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</si>
  <si>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</si>
  <si>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</si>
  <si>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</si>
  <si>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</si>
  <si>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</si>
  <si>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</si>
  <si>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</si>
  <si>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</si>
  <si>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</si>
  <si>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</si>
  <si>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</si>
  <si>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</si>
  <si>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</si>
  <si>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</si>
  <si>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</si>
  <si>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</si>
  <si>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</si>
  <si>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</si>
  <si>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</si>
  <si>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</si>
  <si>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</si>
  <si>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</si>
  <si>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</si>
  <si>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</si>
  <si>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</si>
  <si>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</si>
  <si>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</si>
  <si>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</si>
  <si>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</si>
  <si>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</si>
  <si>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</si>
  <si>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</si>
  <si>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</si>
  <si>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</si>
  <si>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</si>
  <si>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</si>
  <si>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</si>
  <si>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</si>
  <si>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</si>
  <si>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</si>
  <si>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</si>
  <si>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</si>
  <si>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</si>
  <si>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</si>
  <si>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</si>
  <si>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</si>
  <si>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</si>
  <si>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</si>
  <si>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</si>
  <si>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</si>
  <si>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</si>
  <si>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</si>
  <si>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</si>
  <si>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</si>
  <si>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</si>
  <si>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</si>
  <si>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</si>
  <si>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</si>
  <si>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</si>
  <si>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</si>
  <si>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</si>
  <si>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</si>
  <si>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</si>
  <si>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</si>
  <si>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</si>
  <si>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</si>
  <si>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</si>
  <si>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</si>
  <si>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</si>
  <si>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</si>
  <si>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</si>
  <si>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</si>
  <si>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</si>
  <si>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</si>
  <si>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</si>
  <si>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</si>
  <si>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</si>
  <si>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</si>
  <si>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</si>
  <si>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</si>
  <si>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</si>
  <si>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</si>
  <si>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</si>
  <si>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</si>
  <si>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</si>
  <si>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</si>
  <si>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</si>
  <si>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</si>
  <si>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</si>
  <si>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</si>
  <si>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</si>
  <si>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</si>
  <si>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</si>
  <si>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</si>
  <si>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</si>
  <si>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</si>
  <si>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</si>
  <si>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</si>
  <si>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</si>
  <si>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</si>
  <si>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</si>
  <si>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</si>
  <si>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</si>
  <si>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</si>
  <si>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</si>
  <si>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</si>
  <si>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</si>
  <si>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</si>
  <si>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</si>
  <si>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</si>
  <si>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</si>
  <si>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</si>
  <si>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</si>
  <si>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</si>
  <si>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</si>
  <si>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</si>
  <si>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</si>
  <si>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</si>
  <si>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</si>
  <si>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</si>
  <si>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</si>
  <si>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</si>
  <si>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</si>
  <si>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</si>
  <si>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</si>
  <si>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</si>
  <si>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</si>
  <si>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</si>
  <si>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</si>
  <si>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</si>
  <si>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</si>
  <si>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</si>
  <si>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</si>
  <si>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</si>
  <si>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</si>
  <si>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</si>
  <si>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</si>
  <si>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</si>
  <si>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</si>
  <si>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</si>
  <si>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</si>
  <si>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</si>
  <si>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</si>
  <si>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</si>
  <si>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</si>
  <si>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</si>
  <si>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</si>
  <si>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</si>
  <si>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</si>
  <si>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</si>
  <si>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</si>
  <si>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</si>
  <si>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</si>
  <si>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</si>
  <si>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</si>
  <si>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</si>
  <si>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</si>
  <si>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</si>
  <si>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</si>
  <si>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</si>
  <si>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</si>
  <si>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</si>
  <si>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</si>
  <si>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</si>
  <si>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</si>
  <si>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</si>
  <si>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</si>
  <si>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</si>
  <si>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</si>
  <si>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</si>
  <si>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</si>
  <si>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</si>
  <si>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</si>
  <si>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</si>
  <si>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</si>
  <si>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</si>
  <si>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</si>
  <si>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</si>
  <si>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</si>
  <si>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</si>
  <si>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</si>
  <si>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</si>
  <si>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</si>
  <si>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</si>
  <si>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</si>
  <si>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</si>
  <si>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</si>
  <si>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</si>
  <si>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</si>
  <si>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</si>
  <si>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</si>
  <si>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</si>
  <si>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</si>
  <si>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</si>
  <si>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</si>
  <si>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</si>
  <si>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</si>
  <si>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</si>
  <si>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</si>
  <si>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</si>
  <si>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</si>
  <si>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</si>
  <si>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</si>
  <si>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</si>
  <si>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</si>
  <si>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</si>
  <si>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</si>
  <si>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</si>
  <si>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</si>
  <si>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</si>
  <si>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</si>
  <si>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</si>
  <si>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</si>
  <si>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</si>
  <si>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</si>
  <si>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</si>
  <si>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</si>
  <si>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</si>
  <si>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</si>
  <si>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</si>
  <si>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</si>
  <si>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</si>
  <si>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</si>
  <si>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</si>
  <si>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</si>
  <si>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</si>
  <si>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</si>
  <si>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</si>
  <si>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</si>
  <si>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</si>
  <si>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</si>
  <si>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</si>
  <si>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</si>
  <si>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</si>
  <si>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</si>
  <si>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</si>
  <si>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</si>
  <si>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</si>
  <si>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</si>
  <si>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</si>
  <si>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</si>
  <si>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</si>
  <si>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</si>
  <si>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</si>
  <si>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</si>
  <si>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</si>
  <si>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</si>
  <si>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</si>
  <si>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</si>
  <si>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</si>
  <si>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</si>
  <si>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</si>
  <si>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</si>
  <si>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</si>
  <si>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</si>
  <si>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</si>
  <si>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</si>
  <si>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</si>
  <si>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</si>
  <si>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</si>
  <si>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</si>
  <si>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</si>
  <si>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</si>
  <si>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</si>
  <si>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</si>
  <si>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</si>
  <si>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</si>
  <si>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</si>
  <si>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</si>
  <si>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</si>
  <si>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</si>
  <si>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</si>
  <si>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</si>
  <si>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</si>
  <si>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</si>
  <si>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</si>
  <si>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</si>
  <si>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</si>
  <si>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</si>
  <si>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</si>
  <si>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</si>
  <si>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</si>
  <si>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</si>
  <si>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</si>
  <si>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</si>
  <si>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</si>
  <si>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</si>
  <si>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</si>
  <si>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</si>
  <si>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</si>
  <si>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</si>
  <si>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</si>
  <si>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</si>
  <si>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</si>
  <si>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</si>
  <si>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</si>
  <si>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</si>
  <si>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</si>
  <si>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</si>
  <si>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</si>
  <si>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</si>
  <si>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</si>
  <si>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</si>
  <si>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</si>
  <si>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</si>
  <si>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</si>
  <si>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</si>
  <si>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</si>
  <si>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</si>
  <si>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</si>
  <si>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</si>
  <si>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</si>
  <si>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</si>
  <si>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</si>
  <si>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</si>
  <si>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</si>
  <si>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</si>
  <si>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</si>
  <si>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</si>
  <si>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</si>
  <si>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</si>
  <si>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</si>
  <si>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</si>
  <si>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</si>
  <si>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</si>
  <si>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</si>
  <si>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</si>
  <si>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</si>
  <si>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</si>
  <si>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</si>
  <si>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</si>
  <si>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</si>
  <si>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</si>
  <si>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</si>
  <si>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</si>
  <si>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</si>
  <si>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</si>
  <si>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</si>
  <si>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</si>
  <si>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</si>
  <si>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</si>
  <si>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</si>
  <si>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</si>
  <si>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</si>
  <si>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</si>
  <si>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</si>
  <si>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</si>
  <si>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</si>
  <si>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</si>
  <si>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</si>
  <si>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</si>
  <si>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</si>
  <si>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</si>
  <si>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</si>
  <si>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</si>
  <si>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</si>
  <si>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</si>
  <si>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</si>
  <si>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</si>
  <si>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</si>
  <si>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</si>
  <si>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</si>
  <si>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</si>
  <si>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</si>
  <si>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</si>
  <si>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</si>
  <si>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</si>
  <si>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</si>
  <si>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</si>
  <si>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</si>
  <si>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</si>
  <si>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</si>
  <si>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</si>
  <si>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</si>
  <si>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</si>
  <si>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</si>
  <si>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</si>
  <si>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</si>
  <si>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</si>
  <si>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</si>
  <si>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</si>
  <si>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</si>
  <si>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</si>
  <si>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</si>
  <si>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</si>
  <si>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</si>
  <si>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</si>
  <si>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</si>
  <si>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</si>
  <si>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</si>
  <si>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</si>
  <si>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</si>
  <si>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</si>
  <si>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</si>
  <si>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</si>
  <si>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</si>
  <si>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</si>
  <si>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</si>
  <si>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</si>
  <si>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</si>
  <si>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</si>
  <si>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</si>
  <si>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</si>
  <si>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</si>
  <si>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</si>
  <si>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</si>
  <si>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</si>
  <si>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</si>
  <si>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</si>
  <si>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</si>
  <si>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</si>
  <si>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</si>
  <si>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</si>
  <si>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</si>
  <si>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</si>
  <si>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</si>
  <si>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</si>
  <si>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</si>
  <si>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</si>
  <si>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</si>
  <si>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</si>
  <si>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</si>
  <si>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</si>
  <si>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</si>
  <si>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</si>
  <si>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</si>
  <si>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</si>
  <si>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</si>
  <si>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</si>
  <si>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</si>
  <si>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</si>
  <si>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</si>
  <si>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</si>
  <si>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</si>
  <si>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</si>
  <si>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</si>
  <si>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</si>
  <si>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</si>
  <si>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</si>
  <si>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</si>
  <si>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</si>
  <si>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</si>
  <si>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</si>
  <si>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</si>
  <si>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</si>
  <si>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</si>
  <si>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</si>
  <si>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</si>
  <si>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</si>
  <si>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</si>
  <si>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</si>
  <si>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</si>
  <si>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</si>
  <si>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</si>
  <si>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</si>
  <si>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</si>
  <si>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</si>
  <si>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</si>
  <si>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</si>
  <si>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</si>
  <si>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</si>
  <si>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</si>
  <si>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</si>
  <si>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</si>
  <si>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</si>
  <si>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</si>
  <si>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</si>
  <si>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</si>
  <si>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</si>
  <si>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</si>
  <si>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</si>
  <si>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</si>
  <si>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</si>
  <si>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</si>
  <si>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</si>
  <si>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</si>
  <si>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</si>
  <si>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</si>
  <si>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</si>
  <si>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</si>
  <si>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</si>
  <si>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</si>
  <si>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</si>
  <si>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</si>
  <si>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</si>
  <si>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</si>
  <si>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</si>
  <si>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</si>
  <si>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</si>
  <si>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</si>
  <si>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</si>
  <si>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</si>
  <si>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</si>
  <si>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</si>
  <si>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</si>
  <si>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</si>
  <si>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</si>
  <si>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</si>
  <si>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</si>
  <si>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</si>
  <si>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</si>
  <si>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</si>
  <si>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</si>
  <si>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</si>
  <si>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</si>
  <si>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</si>
  <si>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</si>
  <si>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</si>
  <si>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</si>
  <si>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</si>
  <si>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</si>
  <si>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</si>
  <si>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</si>
  <si>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</si>
  <si>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</si>
  <si>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</si>
  <si>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</si>
  <si>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</si>
  <si>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</si>
  <si>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</si>
  <si>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</si>
  <si>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</si>
  <si>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</si>
  <si>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</si>
  <si>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</si>
  <si>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</si>
  <si>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</si>
  <si>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</si>
  <si>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</si>
  <si>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</si>
  <si>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</si>
  <si>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</si>
  <si>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</si>
  <si>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</si>
  <si>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</si>
  <si>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</si>
  <si>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</si>
  <si>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</si>
  <si>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</si>
  <si>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</si>
  <si>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</si>
  <si>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</si>
  <si>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</si>
  <si>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</si>
  <si>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</si>
  <si>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</si>
  <si>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</si>
  <si>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</si>
  <si>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</si>
  <si>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</si>
  <si>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</si>
  <si>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</si>
  <si>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</si>
  <si>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</si>
  <si>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</si>
  <si>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</si>
  <si>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</si>
  <si>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</si>
  <si>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</si>
  <si>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</si>
  <si>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</si>
  <si>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</si>
  <si>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</si>
  <si>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</si>
  <si>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</si>
  <si>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</si>
  <si>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</si>
  <si>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</si>
  <si>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</si>
  <si>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</si>
  <si>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</si>
  <si>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</si>
  <si>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</si>
  <si>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</si>
  <si>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</si>
  <si>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</si>
  <si>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</si>
  <si>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</si>
  <si>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</si>
  <si>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</si>
  <si>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</si>
  <si>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</si>
  <si>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</si>
  <si>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</si>
  <si>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</si>
  <si>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</si>
  <si>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</si>
  <si>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</si>
  <si>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</si>
  <si>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</si>
  <si>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</si>
  <si>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</si>
  <si>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</si>
  <si>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</si>
  <si>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</si>
  <si>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</si>
  <si>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</si>
  <si>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</si>
  <si>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</si>
  <si>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</si>
  <si>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</si>
  <si>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</si>
  <si>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</si>
  <si>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</si>
  <si>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</si>
  <si>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</si>
  <si>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</si>
  <si>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</si>
  <si>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</si>
  <si>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</si>
  <si>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</si>
  <si>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</si>
  <si>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</si>
  <si>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</si>
  <si>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</si>
  <si>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</si>
  <si>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</si>
  <si>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</si>
  <si>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</si>
  <si>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</si>
  <si>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</si>
  <si>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</si>
  <si>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</si>
  <si>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</si>
  <si>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</si>
  <si>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</si>
  <si>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</si>
  <si>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</si>
  <si>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</si>
  <si>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</si>
  <si>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</si>
  <si>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</si>
  <si>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</si>
  <si>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</si>
  <si>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</si>
  <si>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</si>
  <si>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</si>
  <si>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</si>
  <si>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</si>
  <si>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</si>
  <si>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</si>
  <si>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</si>
  <si>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</si>
  <si>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</si>
  <si>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</si>
  <si>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</si>
  <si>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</si>
  <si>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</si>
  <si>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</si>
  <si>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</si>
  <si>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</si>
  <si>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</si>
  <si>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</si>
  <si>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</si>
  <si>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</si>
  <si>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</si>
  <si>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</si>
  <si>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</si>
  <si>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</si>
  <si>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</si>
  <si>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</si>
  <si>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</si>
  <si>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</si>
  <si>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</si>
  <si>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</si>
  <si>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</si>
  <si>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</si>
  <si>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</si>
  <si>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</si>
  <si>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</si>
  <si>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</si>
  <si>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</si>
  <si>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</si>
  <si>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</si>
  <si>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</si>
  <si>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</si>
  <si>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</si>
  <si>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</si>
  <si>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</si>
  <si>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</si>
  <si>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</si>
  <si>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</si>
  <si>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</si>
  <si>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</si>
  <si>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</si>
  <si>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</si>
  <si>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</si>
  <si>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</si>
  <si>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</si>
  <si>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</si>
  <si>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</si>
  <si>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</si>
  <si>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</si>
  <si>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</si>
  <si>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</si>
  <si>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</si>
  <si>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</si>
  <si>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</si>
  <si>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</si>
  <si>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</si>
  <si>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</si>
  <si>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</si>
  <si>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</si>
  <si>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</si>
  <si>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</si>
  <si>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</si>
  <si>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</si>
  <si>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</si>
  <si>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</si>
  <si>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</si>
  <si>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</si>
  <si>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</si>
  <si>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</si>
  <si>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</si>
  <si>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</si>
  <si>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</si>
  <si>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</si>
  <si>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</si>
  <si>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</si>
  <si>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</si>
  <si>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</si>
  <si>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</si>
  <si>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</si>
  <si>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</si>
  <si>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</si>
  <si>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</si>
  <si>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</si>
  <si>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</si>
  <si>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</si>
  <si>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</si>
  <si>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</si>
  <si>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</si>
  <si>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</si>
  <si>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</si>
  <si>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</si>
  <si>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</si>
  <si>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</si>
  <si>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</si>
  <si>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</si>
  <si>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</si>
  <si>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</si>
  <si>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</si>
  <si>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</si>
  <si>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</si>
  <si>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</si>
  <si>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</si>
  <si>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</si>
  <si>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</si>
  <si>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</si>
  <si>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</si>
  <si>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</si>
  <si>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</si>
  <si>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</si>
  <si>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</si>
  <si>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</si>
  <si>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</si>
  <si>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</si>
  <si>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</si>
  <si>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</si>
  <si>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</si>
  <si>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</si>
  <si>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</si>
  <si>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</si>
  <si>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</si>
  <si>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</si>
  <si>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</si>
  <si>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</si>
  <si>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</si>
  <si>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</si>
  <si>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</si>
  <si>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</si>
  <si>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</si>
  <si>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</si>
  <si>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</si>
  <si>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</si>
  <si>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</si>
  <si>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</si>
  <si>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</si>
  <si>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</si>
  <si>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</si>
  <si>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</si>
  <si>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</si>
  <si>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</si>
  <si>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</si>
  <si>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</si>
  <si>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</si>
  <si>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</si>
  <si>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</si>
  <si>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</si>
  <si>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</si>
  <si>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</si>
  <si>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</si>
  <si>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</si>
  <si>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</si>
  <si>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</si>
  <si>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</si>
  <si>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</si>
  <si>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</si>
  <si>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</si>
  <si>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</si>
  <si>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</si>
  <si>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</si>
  <si>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</si>
  <si>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</si>
  <si>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</si>
  <si>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</si>
  <si>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</si>
  <si>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</si>
  <si>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</si>
  <si>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</si>
  <si>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</si>
  <si>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</si>
  <si>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</si>
  <si>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</si>
  <si>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</si>
  <si>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</si>
  <si>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</si>
  <si>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</si>
  <si>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</si>
  <si>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</si>
  <si>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</si>
  <si>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</si>
  <si>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</si>
  <si>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</si>
  <si>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</si>
  <si>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</si>
  <si>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</si>
  <si>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</si>
  <si>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</si>
  <si>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</si>
  <si>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</si>
  <si>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</si>
  <si>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</si>
  <si>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</si>
  <si>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</si>
  <si>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</si>
  <si>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</si>
  <si>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</si>
  <si>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</si>
  <si>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</si>
  <si>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</si>
  <si>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</si>
  <si>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</si>
  <si>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</si>
  <si>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</si>
  <si>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</si>
  <si>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</si>
  <si>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</si>
  <si>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</si>
  <si>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</si>
  <si>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</si>
  <si>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</si>
  <si>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</si>
  <si>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</si>
  <si>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</si>
  <si>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</si>
  <si>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</si>
  <si>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</si>
  <si>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</si>
  <si>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</si>
  <si>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</si>
  <si>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</si>
  <si>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</si>
  <si>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</si>
  <si>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</si>
  <si>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</si>
  <si>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</si>
  <si>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</si>
  <si>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</si>
  <si>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</si>
  <si>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</si>
  <si>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</si>
  <si>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</si>
  <si>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</si>
  <si>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</si>
  <si>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</si>
  <si>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</si>
  <si>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</si>
  <si>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</si>
  <si>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</si>
  <si>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</si>
  <si>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</si>
  <si>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</si>
  <si>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</si>
  <si>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</si>
  <si>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</si>
  <si>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</si>
  <si>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</si>
  <si>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</si>
  <si>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</si>
  <si>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</si>
  <si>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</si>
  <si>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</si>
  <si>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</si>
  <si>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</si>
  <si>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</si>
  <si>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</si>
  <si>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</si>
  <si>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</si>
  <si>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</si>
  <si>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</si>
  <si>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</si>
  <si>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</si>
  <si>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</si>
  <si>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</si>
  <si>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</si>
  <si>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</si>
  <si>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</si>
  <si>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</si>
  <si>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</si>
  <si>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</si>
  <si>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</si>
  <si>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</si>
  <si>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</si>
  <si>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</si>
  <si>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</si>
  <si>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</si>
  <si>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</si>
  <si>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</si>
  <si>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</si>
  <si>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</si>
  <si>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</si>
  <si>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</si>
  <si>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</si>
  <si>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</si>
  <si>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</si>
  <si>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</si>
  <si>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</si>
  <si>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</si>
  <si>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</si>
  <si>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</si>
  <si>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</si>
  <si>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</si>
  <si>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</si>
  <si>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</si>
  <si>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</si>
  <si>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</si>
  <si>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</si>
  <si>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</si>
  <si>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</si>
  <si>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</si>
  <si>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</si>
  <si>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</si>
  <si>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</si>
  <si>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</si>
  <si>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</si>
  <si>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</si>
  <si>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</si>
  <si>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</si>
  <si>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</si>
  <si>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</si>
  <si>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</si>
  <si>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</si>
  <si>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</si>
  <si>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</si>
  <si>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</si>
  <si>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</si>
  <si>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</si>
  <si>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</si>
  <si>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</si>
  <si>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</si>
  <si>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</si>
  <si>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</si>
  <si>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</si>
  <si>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</si>
  <si>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</si>
  <si>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</si>
  <si>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</si>
  <si>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</si>
  <si>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</si>
  <si>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</si>
  <si>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</si>
  <si>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</si>
  <si>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</si>
  <si>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</si>
  <si>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</si>
  <si>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</si>
  <si>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</si>
  <si>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</si>
  <si>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</si>
  <si>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</si>
  <si>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</si>
  <si>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</si>
  <si>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</si>
  <si>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</si>
  <si>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</si>
  <si>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</si>
  <si>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</si>
  <si>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</si>
  <si>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</si>
  <si>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</si>
  <si>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</si>
  <si>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</si>
  <si>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</si>
  <si>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</si>
  <si>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</si>
  <si>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</si>
  <si>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</si>
  <si>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</si>
  <si>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</si>
  <si>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</si>
  <si>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</si>
  <si>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</si>
  <si>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</si>
  <si>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</si>
  <si>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</si>
  <si>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</si>
  <si>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</si>
  <si>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</si>
  <si>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</si>
  <si>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</si>
  <si>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</si>
  <si>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</si>
  <si>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</si>
  <si>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</si>
  <si>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</si>
  <si>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</si>
  <si>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</si>
  <si>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</si>
  <si>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</si>
  <si>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</si>
  <si>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</si>
  <si>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</si>
  <si>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</si>
  <si>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</si>
  <si>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</si>
  <si>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</si>
  <si>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</si>
  <si>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</si>
  <si>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</si>
  <si>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</si>
  <si>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</si>
  <si>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</si>
  <si>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</si>
  <si>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</si>
  <si>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</si>
  <si>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</si>
  <si>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</si>
  <si>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</si>
  <si>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</si>
  <si>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</si>
  <si>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</si>
  <si>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</si>
  <si>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</si>
  <si>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</si>
  <si>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</si>
  <si>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</si>
  <si>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</si>
  <si>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</si>
  <si>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</si>
  <si>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</si>
  <si>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</si>
  <si>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</si>
  <si>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</si>
  <si>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</si>
  <si>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</si>
  <si>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</si>
  <si>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</si>
  <si>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</si>
  <si>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</si>
  <si>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</si>
  <si>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</si>
  <si>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</si>
  <si>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</si>
  <si>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</si>
  <si>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</si>
  <si>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</si>
  <si>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</si>
  <si>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</si>
  <si>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</si>
  <si>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</si>
  <si>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</si>
  <si>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</si>
  <si>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</si>
  <si>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</si>
  <si>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</si>
  <si>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</si>
  <si>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</si>
  <si>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</si>
  <si>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</si>
  <si>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</si>
  <si>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</si>
  <si>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</si>
  <si>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</si>
  <si>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</si>
  <si>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</si>
  <si>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</si>
  <si>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</si>
  <si>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</si>
  <si>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</si>
  <si>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</si>
  <si>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</si>
  <si>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</si>
  <si>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</si>
  <si>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</si>
  <si>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</si>
  <si>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</si>
  <si>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</si>
  <si>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</si>
  <si>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</si>
  <si>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</si>
  <si>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</si>
  <si>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</si>
  <si>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</si>
  <si>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</si>
  <si>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</si>
  <si>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</si>
  <si>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</si>
  <si>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</si>
  <si>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</si>
  <si>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</si>
  <si>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</si>
  <si>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</si>
  <si>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</si>
  <si>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</si>
  <si>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</si>
  <si>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</si>
  <si>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</si>
  <si>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</si>
  <si>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</si>
  <si>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</si>
  <si>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</si>
  <si>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</si>
  <si>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</si>
  <si>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</si>
  <si>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</si>
  <si>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</si>
  <si>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</si>
  <si>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</si>
  <si>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</si>
  <si>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</si>
  <si>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</si>
  <si>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</si>
  <si>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</si>
  <si>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</si>
  <si>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</si>
  <si>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</si>
  <si>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</si>
  <si>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</si>
  <si>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</si>
  <si>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</si>
  <si>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</si>
  <si>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</si>
  <si>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</si>
  <si>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</si>
  <si>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</si>
  <si>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</si>
  <si>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</si>
  <si>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</si>
  <si>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</si>
  <si>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</si>
  <si>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</si>
  <si>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</si>
  <si>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</si>
  <si>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</si>
  <si>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</si>
  <si>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</si>
  <si>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</si>
  <si>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</si>
  <si>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</si>
  <si>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</si>
  <si>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</si>
  <si>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</si>
  <si>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</si>
  <si>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</si>
  <si>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</si>
  <si>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</si>
  <si>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</si>
  <si>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</si>
  <si>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</si>
  <si>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</si>
  <si>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</si>
  <si>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</si>
  <si>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</si>
  <si>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</si>
  <si>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</si>
  <si>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</si>
  <si>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</si>
  <si>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</si>
  <si>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</si>
  <si>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</si>
  <si>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</si>
  <si>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</si>
  <si>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</si>
  <si>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</si>
  <si>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</si>
  <si>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</si>
  <si>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</si>
  <si>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</si>
  <si>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</si>
  <si>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</si>
  <si>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</si>
  <si>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</si>
  <si>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</si>
  <si>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</si>
  <si>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</si>
  <si>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</si>
  <si>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</si>
  <si>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</si>
  <si>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</si>
  <si>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</si>
  <si>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</si>
  <si>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</si>
  <si>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</si>
  <si>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</si>
  <si>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</si>
  <si>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</si>
  <si>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</si>
  <si>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</si>
  <si>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</si>
  <si>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</si>
  <si>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</si>
  <si>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</si>
  <si>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</si>
  <si>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</si>
  <si>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</si>
  <si>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</si>
  <si>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</si>
  <si>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</si>
  <si>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</si>
  <si>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</si>
  <si>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</si>
  <si>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</si>
  <si>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</si>
  <si>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</si>
  <si>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</si>
  <si>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</si>
  <si>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</si>
  <si>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</si>
  <si>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</si>
  <si>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</si>
  <si>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</si>
  <si>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</si>
  <si>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</si>
  <si>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</si>
  <si>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</si>
  <si>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</si>
  <si>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</si>
  <si>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</si>
  <si>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</si>
  <si>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</si>
  <si>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</si>
  <si>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</si>
  <si>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</si>
  <si>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</si>
  <si>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</si>
  <si>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</si>
  <si>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</si>
  <si>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</si>
  <si>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</si>
  <si>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</si>
  <si>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</si>
  <si>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</si>
  <si>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</si>
  <si>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</si>
  <si>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</si>
  <si>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</si>
  <si>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</si>
  <si>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</si>
  <si>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</si>
  <si>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</si>
  <si>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</si>
  <si>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</si>
  <si>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</si>
  <si>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</si>
  <si>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</si>
  <si>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</si>
  <si>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</si>
  <si>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</si>
  <si>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</si>
  <si>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</si>
  <si>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</si>
  <si>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</si>
  <si>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</si>
  <si>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</si>
  <si>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</si>
  <si>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</si>
  <si>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</si>
  <si>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</si>
  <si>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</si>
  <si>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</si>
  <si>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</si>
  <si>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</si>
  <si>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</si>
  <si>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</si>
  <si>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</si>
  <si>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</si>
  <si>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</si>
  <si>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</si>
  <si>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</si>
  <si>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</si>
  <si>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</si>
  <si>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</si>
  <si>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</si>
  <si>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</si>
  <si>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</si>
  <si>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</si>
  <si>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</si>
  <si>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</si>
  <si>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</si>
  <si>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</si>
  <si>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</si>
  <si>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</si>
  <si>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</si>
  <si>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</si>
  <si>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</si>
  <si>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</si>
  <si>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</si>
  <si>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</si>
  <si>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</si>
  <si>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</si>
  <si>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</si>
  <si>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</si>
  <si>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</si>
  <si>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</si>
  <si>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</si>
  <si>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</si>
  <si>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</si>
  <si>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</si>
  <si>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</si>
  <si>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</si>
  <si>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</si>
  <si>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</si>
  <si>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</si>
  <si>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</si>
  <si>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</si>
  <si>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</si>
  <si>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</si>
  <si>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</si>
  <si>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</si>
  <si>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</si>
  <si>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</si>
  <si>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</si>
  <si>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</si>
  <si>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</si>
  <si>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</si>
  <si>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</si>
  <si>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</si>
  <si>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</si>
  <si>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</si>
  <si>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</si>
  <si>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</si>
  <si>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</si>
  <si>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</si>
  <si>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</si>
  <si>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</si>
  <si>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</si>
  <si>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</si>
  <si>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</si>
  <si>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</si>
  <si>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</si>
  <si>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</si>
  <si>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</si>
  <si>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</si>
  <si>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</si>
  <si>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</si>
  <si>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</si>
  <si>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</si>
  <si>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</si>
  <si>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</si>
  <si>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</si>
  <si>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</si>
  <si>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</si>
  <si>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</si>
  <si>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</si>
  <si>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</si>
  <si>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</si>
  <si>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</si>
  <si>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</si>
  <si>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</si>
  <si>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</si>
  <si>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</si>
  <si>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</si>
  <si>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</si>
  <si>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</si>
  <si>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</si>
  <si>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</si>
  <si>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</si>
  <si>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</si>
  <si>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</si>
  <si>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</si>
  <si>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</si>
  <si>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</si>
  <si>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</si>
  <si>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</si>
  <si>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</si>
  <si>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</si>
  <si>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</si>
  <si>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</si>
  <si>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</si>
  <si>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</si>
  <si>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</si>
  <si>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</si>
  <si>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</si>
  <si>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</si>
  <si>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</si>
  <si>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</si>
  <si>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</si>
  <si>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</si>
  <si>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</si>
  <si>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</si>
  <si>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</si>
  <si>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</si>
  <si>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</si>
  <si>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</si>
  <si>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</si>
  <si>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</si>
  <si>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</si>
  <si>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</si>
  <si>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</si>
  <si>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</si>
  <si>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</si>
  <si>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</si>
  <si>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</si>
  <si>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</si>
  <si>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</si>
  <si>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</si>
  <si>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</si>
  <si>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</si>
  <si>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</si>
  <si>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</si>
  <si>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</si>
  <si>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</si>
  <si>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</si>
  <si>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</si>
  <si>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</si>
  <si>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</si>
  <si>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</si>
  <si>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</si>
  <si>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</si>
  <si>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</si>
  <si>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</si>
  <si>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</si>
  <si>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</si>
  <si>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</si>
  <si>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</si>
  <si>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</si>
  <si>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</si>
  <si>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</si>
  <si>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</si>
  <si>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</si>
  <si>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</si>
  <si>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</si>
  <si>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</si>
  <si>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</si>
  <si>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</si>
  <si>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</si>
  <si>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</si>
  <si>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</si>
  <si>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</si>
  <si>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</si>
  <si>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</si>
  <si>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</si>
  <si>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</si>
  <si>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</si>
  <si>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</si>
  <si>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</si>
  <si>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</si>
  <si>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</si>
  <si>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</si>
  <si>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</si>
  <si>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</si>
  <si>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</si>
  <si>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</si>
  <si>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</si>
  <si>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</si>
  <si>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</si>
  <si>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</si>
  <si>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</si>
  <si>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</si>
  <si>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</si>
  <si>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</si>
  <si>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</si>
  <si>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</si>
  <si>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</si>
  <si>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</si>
  <si>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</si>
  <si>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</si>
  <si>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</si>
  <si>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</si>
  <si>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</si>
  <si>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</si>
  <si>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</si>
  <si>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</si>
  <si>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</si>
  <si>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</si>
  <si>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</si>
  <si>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</si>
  <si>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</si>
  <si>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</si>
  <si>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</si>
  <si>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</si>
  <si>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</si>
  <si>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</si>
  <si>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</si>
  <si>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</si>
  <si>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</si>
  <si>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</si>
  <si>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</si>
  <si>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</si>
  <si>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</si>
  <si>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</si>
  <si>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</si>
  <si>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</si>
  <si>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</si>
  <si>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</si>
  <si>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</si>
  <si>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</si>
  <si>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</si>
  <si>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</si>
  <si>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</si>
  <si>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</si>
  <si>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</si>
  <si>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</si>
  <si>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</si>
  <si>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</si>
  <si>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</si>
  <si>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</si>
  <si>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</si>
  <si>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</si>
  <si>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</si>
  <si>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</si>
  <si>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</si>
  <si>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</si>
  <si>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</si>
  <si>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</si>
  <si>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</si>
  <si>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</si>
  <si>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</si>
  <si>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</si>
  <si>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</si>
  <si>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</si>
  <si>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</si>
  <si>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</si>
  <si>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</si>
  <si>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</si>
  <si>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</si>
  <si>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</si>
  <si>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</si>
  <si>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</si>
  <si>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</si>
  <si>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</si>
  <si>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</si>
  <si>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</si>
  <si>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</si>
  <si>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</si>
  <si>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</si>
  <si>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</si>
  <si>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</si>
  <si>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</si>
  <si>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</si>
  <si>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</si>
  <si>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</si>
  <si>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</si>
  <si>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</si>
  <si>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</si>
  <si>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</si>
  <si>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</si>
  <si>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</si>
  <si>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</si>
  <si>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</si>
  <si>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</si>
  <si>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</si>
  <si>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</si>
  <si>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</si>
  <si>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</si>
  <si>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</si>
  <si>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</si>
  <si>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</si>
  <si>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</si>
  <si>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</si>
  <si>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</si>
  <si>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</si>
  <si>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</si>
  <si>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</si>
  <si>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</si>
  <si>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</si>
  <si>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</si>
  <si>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</si>
  <si>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</si>
  <si>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</si>
  <si>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</si>
  <si>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</si>
  <si>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</si>
  <si>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</si>
  <si>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</si>
  <si>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</si>
  <si>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</si>
  <si>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</si>
  <si>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</si>
  <si>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</si>
  <si>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</si>
  <si>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</si>
  <si>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</si>
  <si>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</si>
  <si>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</si>
  <si>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</si>
  <si>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</si>
  <si>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</si>
  <si>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</si>
  <si>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</si>
  <si>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</si>
  <si>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</si>
  <si>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</si>
  <si>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</si>
  <si>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</si>
  <si>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</si>
  <si>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</si>
  <si>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</si>
  <si>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</si>
  <si>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</si>
  <si>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</si>
  <si>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</si>
  <si>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</si>
  <si>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</si>
  <si>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</si>
  <si>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</si>
  <si>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</si>
  <si>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</si>
  <si>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</si>
  <si>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</si>
  <si>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</si>
  <si>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</si>
  <si>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</si>
  <si>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</si>
  <si>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</si>
  <si>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</si>
  <si>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</si>
  <si>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</si>
  <si>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</si>
  <si>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</si>
  <si>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</si>
  <si>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</si>
  <si>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</si>
  <si>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</si>
  <si>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</si>
  <si>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</si>
  <si>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</si>
  <si>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</si>
  <si>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</si>
  <si>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</si>
  <si>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</si>
  <si>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</si>
  <si>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</si>
  <si>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</si>
  <si>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</si>
  <si>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</si>
  <si>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</si>
  <si>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</si>
  <si>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</si>
  <si>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</si>
  <si>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</si>
  <si>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</si>
  <si>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</si>
  <si>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</si>
  <si>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</si>
  <si>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</si>
  <si>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</si>
  <si>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</si>
  <si>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</si>
  <si>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</si>
  <si>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</si>
  <si>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</si>
  <si>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</si>
  <si>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</si>
  <si>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</si>
  <si>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</si>
  <si>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</si>
  <si>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</si>
  <si>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</si>
  <si>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</si>
  <si>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</si>
  <si>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</si>
  <si>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</si>
  <si>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</si>
  <si>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</si>
  <si>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</si>
  <si>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</si>
  <si>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</si>
  <si>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</si>
  <si>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</si>
  <si>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</si>
  <si>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</si>
  <si>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</si>
  <si>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</si>
  <si>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</si>
  <si>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</si>
  <si>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</si>
  <si>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</si>
  <si>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</si>
  <si>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</si>
  <si>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</si>
  <si>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</si>
  <si>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</si>
  <si>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</si>
  <si>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</si>
  <si>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</si>
  <si>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</si>
  <si>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</si>
  <si>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</si>
  <si>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</si>
  <si>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</si>
  <si>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</si>
  <si>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</si>
  <si>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</si>
  <si>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</si>
  <si>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</si>
  <si>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</si>
  <si>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</si>
  <si>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</si>
  <si>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</si>
  <si>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</si>
  <si>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</si>
  <si>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</si>
  <si>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</si>
  <si>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</si>
  <si>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</si>
  <si>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</si>
  <si>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</si>
  <si>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</si>
  <si>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</si>
  <si>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</si>
  <si>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</si>
  <si>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</si>
  <si>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</si>
  <si>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</si>
  <si>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</si>
  <si>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</si>
  <si>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</si>
  <si>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</si>
  <si>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</si>
  <si>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</si>
  <si>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</si>
  <si>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</si>
  <si>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</si>
  <si>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</si>
  <si>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</si>
  <si>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</si>
  <si>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</si>
  <si>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</si>
  <si>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</si>
  <si>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</si>
  <si>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</si>
  <si>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</si>
  <si>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</si>
  <si>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</si>
  <si>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</si>
  <si>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</si>
  <si>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</si>
  <si>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</si>
  <si>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</si>
  <si>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</si>
  <si>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</si>
  <si>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</si>
  <si>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</si>
  <si>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</si>
  <si>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</si>
  <si>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</si>
  <si>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</si>
  <si>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</si>
  <si>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</si>
  <si>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</si>
  <si>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</si>
  <si>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</si>
  <si>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</si>
  <si>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</si>
  <si>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</si>
  <si>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</si>
  <si>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</si>
  <si>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</si>
  <si>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</si>
  <si>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</si>
  <si>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</si>
  <si>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</si>
  <si>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</si>
  <si>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</si>
  <si>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</si>
  <si>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</si>
  <si>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</si>
  <si>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</si>
  <si>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</si>
  <si>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</si>
  <si>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</si>
  <si>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</si>
  <si>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</si>
  <si>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</si>
  <si>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</si>
  <si>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</si>
  <si>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</si>
  <si>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</si>
  <si>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</si>
  <si>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</si>
  <si>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</si>
  <si>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</si>
  <si>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</si>
  <si>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</si>
  <si>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</si>
  <si>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</si>
  <si>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</si>
  <si>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</si>
  <si>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</si>
  <si>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</si>
  <si>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</si>
  <si>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</si>
  <si>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</si>
  <si>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</si>
  <si>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</si>
  <si>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</si>
  <si>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</si>
  <si>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</si>
  <si>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</si>
  <si>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</si>
  <si>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</si>
  <si>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</si>
  <si>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</si>
  <si>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</si>
  <si>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</si>
  <si>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</si>
  <si>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</si>
  <si>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</si>
  <si>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</si>
  <si>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</si>
  <si>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</si>
  <si>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</si>
  <si>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</si>
  <si>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</si>
  <si>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</si>
  <si>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</si>
  <si>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</si>
  <si>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</si>
  <si>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</si>
  <si>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</si>
  <si>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</si>
  <si>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</si>
  <si>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</si>
  <si>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</si>
  <si>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</si>
  <si>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</si>
  <si>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</si>
  <si>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</si>
  <si>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</si>
  <si>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</si>
  <si>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</si>
  <si>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</si>
  <si>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</si>
  <si>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</si>
  <si>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</si>
  <si>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</si>
  <si>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</si>
  <si>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</si>
  <si>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</si>
  <si>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</si>
  <si>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</si>
  <si>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</si>
  <si>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</si>
  <si>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</si>
  <si>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</si>
  <si>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</si>
  <si>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</si>
  <si>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</si>
  <si>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</si>
  <si>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</si>
  <si>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</si>
  <si>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</si>
  <si>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</si>
  <si>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</si>
  <si>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</si>
  <si>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</si>
  <si>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</si>
  <si>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</si>
  <si>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</si>
  <si>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</si>
  <si>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</si>
  <si>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</si>
  <si>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</si>
  <si>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</si>
  <si>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</si>
  <si>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</si>
  <si>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</si>
  <si>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</si>
  <si>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</si>
  <si>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</si>
  <si>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</si>
  <si>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</si>
  <si>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</si>
  <si>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</si>
  <si>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</si>
  <si>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</si>
  <si>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</si>
  <si>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</si>
  <si>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</si>
  <si>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</si>
  <si>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</si>
  <si>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</si>
  <si>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</si>
  <si>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</si>
  <si>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</si>
  <si>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</si>
  <si>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</si>
  <si>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</si>
  <si>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</si>
  <si>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</si>
  <si>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</si>
  <si>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</si>
  <si>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</si>
  <si>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</si>
  <si>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</si>
  <si>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</si>
  <si>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</si>
  <si>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</si>
  <si>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</si>
  <si>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</si>
  <si>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</si>
  <si>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</si>
  <si>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</si>
  <si>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</si>
  <si>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</si>
  <si>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</si>
  <si>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</si>
  <si>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</si>
  <si>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</si>
  <si>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</si>
  <si>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</si>
  <si>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</si>
  <si>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</si>
  <si>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</si>
  <si>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</si>
  <si>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</si>
  <si>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</si>
  <si>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</si>
  <si>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</si>
  <si>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</si>
  <si>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</si>
  <si>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</si>
  <si>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</si>
  <si>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</si>
  <si>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</si>
  <si>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</si>
  <si>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</si>
  <si>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</si>
  <si>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</si>
  <si>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</si>
  <si>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</si>
  <si>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</si>
  <si>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</si>
  <si>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</si>
  <si>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</si>
  <si>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</si>
  <si>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</si>
  <si>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</si>
  <si>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</si>
  <si>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</si>
  <si>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</si>
  <si>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</si>
  <si>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</si>
  <si>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</si>
  <si>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</si>
  <si>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</si>
  <si>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</si>
  <si>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</si>
  <si>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</si>
  <si>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</si>
  <si>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</si>
  <si>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</si>
  <si>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</si>
  <si>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</si>
  <si>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</si>
  <si>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</si>
  <si>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</si>
  <si>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</si>
  <si>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</si>
  <si>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</si>
  <si>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</si>
  <si>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</si>
  <si>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</si>
  <si>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</si>
  <si>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</si>
  <si>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</si>
  <si>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</si>
  <si>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</si>
  <si>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</si>
  <si>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</si>
  <si>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</si>
  <si>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</si>
  <si>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</si>
  <si>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</si>
  <si>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</si>
  <si>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</si>
  <si>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</si>
  <si>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</si>
  <si>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</si>
  <si>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</si>
  <si>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</si>
  <si>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</si>
  <si>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</si>
  <si>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</si>
  <si>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</si>
  <si>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</si>
  <si>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</si>
  <si>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</si>
  <si>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</si>
  <si>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</si>
  <si>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</si>
  <si>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</si>
  <si>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</si>
  <si>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</si>
  <si>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</si>
  <si>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</si>
  <si>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</si>
  <si>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</si>
  <si>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</si>
  <si>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</si>
  <si>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</si>
  <si>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</si>
  <si>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</si>
  <si>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</si>
  <si>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</si>
  <si>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</si>
  <si>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</si>
  <si>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</si>
  <si>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</si>
  <si>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</si>
  <si>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</si>
  <si>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</si>
  <si>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</si>
  <si>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</si>
  <si>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</si>
  <si>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</si>
  <si>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</si>
  <si>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</si>
  <si>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</si>
  <si>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</si>
  <si>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</si>
  <si>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</si>
  <si>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</si>
  <si>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</si>
  <si>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</si>
  <si>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</si>
  <si>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</si>
  <si>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</si>
  <si>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</si>
  <si>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</si>
  <si>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</si>
  <si>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</si>
  <si>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</si>
  <si>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</si>
  <si>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</si>
  <si>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</si>
  <si>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</si>
  <si>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</si>
  <si>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</si>
  <si>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</si>
  <si>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</si>
  <si>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</si>
  <si>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</si>
  <si>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</si>
  <si>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</si>
  <si>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</si>
  <si>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</si>
  <si>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</si>
  <si>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</si>
  <si>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</si>
  <si>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</si>
  <si>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</si>
  <si>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</si>
  <si>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</si>
  <si>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</si>
  <si>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</si>
  <si>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</si>
  <si>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</si>
  <si>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</si>
  <si>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</si>
  <si>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</si>
  <si>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</si>
  <si>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</si>
  <si>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</si>
  <si>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</si>
  <si>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</si>
  <si>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</si>
  <si>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</si>
  <si>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</si>
  <si>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</si>
  <si>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</si>
  <si>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</si>
  <si>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</si>
  <si>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</si>
  <si>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</si>
  <si>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</si>
  <si>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</si>
  <si>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</si>
  <si>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</si>
  <si>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</si>
  <si>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</si>
  <si>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</si>
  <si>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</si>
  <si>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</si>
  <si>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</si>
  <si>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</si>
  <si>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</si>
  <si>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</si>
  <si>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</si>
  <si>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</si>
  <si>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</si>
  <si>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</si>
  <si>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</si>
  <si>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</si>
  <si>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CUENTA DE CORREO INSTITUCIONAL: pvictoriag@tlalpan.cdmx.gob.mx</t>
  </si>
  <si>
    <t>CUENTA DE CORREO INSTITUCIONAL: mmoranr@tlalpan.cdmx.gob.mx</t>
  </si>
  <si>
    <t xml:space="preserve">NOMBRE: Maricela Morán Raya </t>
  </si>
  <si>
    <t>CARGO:  Directora de Recursos Financieros y Presupuestales }</t>
  </si>
  <si>
    <t xml:space="preserve">NOMBRE:  Patricia Victoria Guzmán </t>
  </si>
  <si>
    <t xml:space="preserve">CARGO: Subdirectora de Presupuesto </t>
  </si>
  <si>
    <t>TELÉFONO DE CONTACTO: 5554831500</t>
  </si>
  <si>
    <t>EXTENSIÓN: 3213</t>
  </si>
  <si>
    <t>TELÉFONO DE CONTACTO: 5589572074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</si>
</sst>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29">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2">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19"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19" fillId="0" borderId="0" xfId="1" applyFont="1" applyAlignment="1" applyProtection="1">
      <alignment horizontal="center" vertical="top" wrapText="1"/>
      <protection hidden="1"/>
    </xf>
    <xf numFmtId="0" fontId="20" fillId="4" borderId="0" xfId="0" applyFont="1" applyFill="1" applyBorder="1" applyProtection="1">
      <protection hidden="1"/>
    </xf>
    <xf numFmtId="0" fontId="21" fillId="4" borderId="0" xfId="0" applyFont="1" applyFill="1" applyBorder="1" applyAlignment="1" applyProtection="1">
      <protection hidden="1"/>
    </xf>
    <xf numFmtId="0" fontId="20" fillId="0" borderId="0" xfId="0" applyFont="1" applyProtection="1">
      <protection hidden="1"/>
    </xf>
    <xf numFmtId="0" fontId="20" fillId="4" borderId="0" xfId="0" applyFont="1" applyFill="1" applyBorder="1" applyAlignment="1" applyProtection="1">
      <protection hidden="1"/>
    </xf>
    <xf numFmtId="0" fontId="20" fillId="4" borderId="2" xfId="0" applyFont="1" applyFill="1" applyBorder="1" applyProtection="1">
      <protection hidden="1"/>
    </xf>
    <xf numFmtId="0" fontId="20" fillId="0" borderId="2" xfId="0" applyFont="1" applyBorder="1" applyProtection="1">
      <protection hidden="1"/>
    </xf>
    <xf numFmtId="0" fontId="20" fillId="4" borderId="2" xfId="0" applyFont="1" applyFill="1" applyBorder="1" applyAlignment="1" applyProtection="1">
      <protection hidden="1"/>
    </xf>
    <xf numFmtId="0" fontId="21" fillId="4" borderId="0" xfId="0" applyFont="1" applyFill="1" applyBorder="1" applyAlignment="1" applyProtection="1">
      <alignment vertical="center" wrapText="1"/>
      <protection hidden="1"/>
    </xf>
    <xf numFmtId="0" fontId="21"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5" fillId="0" borderId="1" xfId="1" applyNumberFormat="1" applyFont="1" applyBorder="1" applyAlignment="1" applyProtection="1">
      <alignment horizontal="center" vertical="center" wrapText="1"/>
      <protection locked="0"/>
    </xf>
    <xf numFmtId="9" fontId="26" fillId="0" borderId="1" xfId="4" applyFont="1" applyBorder="1" applyAlignment="1" applyProtection="1">
      <alignment horizontal="center" vertical="center" wrapText="1"/>
      <protection hidden="1"/>
    </xf>
    <xf numFmtId="0" fontId="27" fillId="8" borderId="1" xfId="1" applyFont="1" applyFill="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165" fontId="15" fillId="0" borderId="1" xfId="1" applyNumberFormat="1" applyFont="1" applyFill="1" applyBorder="1" applyAlignment="1" applyProtection="1">
      <alignment horizontal="center" vertical="center" wrapText="1"/>
      <protection locked="0"/>
    </xf>
    <xf numFmtId="0" fontId="15" fillId="0" borderId="1" xfId="1" applyFont="1" applyFill="1" applyBorder="1" applyAlignment="1" applyProtection="1">
      <alignment horizontal="center" vertical="center" wrapText="1"/>
      <protection locked="0"/>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16" fillId="0" borderId="4" xfId="1" applyFont="1" applyFill="1" applyBorder="1" applyAlignment="1" applyProtection="1">
      <alignment horizontal="justify" vertical="center" wrapText="1"/>
      <protection hidden="1"/>
    </xf>
    <xf numFmtId="0" fontId="16" fillId="0" borderId="6" xfId="1" applyFont="1" applyFill="1" applyBorder="1" applyAlignment="1" applyProtection="1">
      <alignment horizontal="justify" vertical="center" wrapText="1"/>
      <protection hidden="1"/>
    </xf>
    <xf numFmtId="0" fontId="16" fillId="0" borderId="5" xfId="1" applyFont="1" applyFill="1" applyBorder="1" applyAlignment="1" applyProtection="1">
      <alignment horizontal="justify" vertical="center" wrapText="1"/>
      <protection hidden="1"/>
    </xf>
    <xf numFmtId="0" fontId="24" fillId="0" borderId="4" xfId="1" applyFont="1" applyBorder="1" applyAlignment="1" applyProtection="1">
      <alignment horizontal="center" vertical="center" wrapText="1"/>
      <protection hidden="1"/>
    </xf>
    <xf numFmtId="0" fontId="24" fillId="0" borderId="6" xfId="1" applyFont="1" applyBorder="1" applyAlignment="1" applyProtection="1">
      <alignment horizontal="center" vertical="center" wrapText="1"/>
      <protection hidden="1"/>
    </xf>
    <xf numFmtId="0" fontId="24" fillId="0" borderId="5" xfId="1" applyFont="1" applyBorder="1" applyAlignment="1" applyProtection="1">
      <alignment horizontal="center" vertical="center" wrapText="1"/>
      <protection hidden="1"/>
    </xf>
    <xf numFmtId="0" fontId="24" fillId="0" borderId="1" xfId="1" applyFont="1" applyBorder="1" applyAlignment="1" applyProtection="1">
      <alignment horizontal="center" vertical="center" wrapText="1"/>
      <protection hidden="1"/>
    </xf>
    <xf numFmtId="0" fontId="25" fillId="8" borderId="0" xfId="1" applyFont="1" applyFill="1" applyAlignment="1" applyProtection="1">
      <alignment horizontal="center" vertical="center" wrapText="1"/>
      <protection hidden="1"/>
    </xf>
    <xf numFmtId="0" fontId="22" fillId="8" borderId="12" xfId="1" applyFont="1" applyFill="1" applyBorder="1" applyAlignment="1" applyProtection="1">
      <alignment horizontal="center" vertical="center"/>
      <protection hidden="1"/>
    </xf>
    <xf numFmtId="0" fontId="22" fillId="8" borderId="0" xfId="1" applyFont="1" applyFill="1" applyBorder="1" applyAlignment="1" applyProtection="1">
      <alignment horizontal="center" vertical="center"/>
      <protection hidden="1"/>
    </xf>
    <xf numFmtId="0" fontId="23" fillId="0" borderId="0" xfId="1" applyFont="1" applyBorder="1" applyAlignment="1" applyProtection="1">
      <alignment horizontal="center" vertical="center" wrapText="1"/>
      <protection hidden="1"/>
    </xf>
    <xf numFmtId="0" fontId="24"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1" fillId="4" borderId="0" xfId="0" applyFont="1" applyFill="1" applyBorder="1" applyAlignment="1" applyProtection="1">
      <alignment horizontal="center" vertical="center"/>
      <protection hidden="1"/>
    </xf>
    <xf numFmtId="0" fontId="21" fillId="4" borderId="10" xfId="0" applyFont="1" applyFill="1" applyBorder="1" applyAlignment="1" applyProtection="1">
      <alignment horizontal="center"/>
      <protection hidden="1"/>
    </xf>
    <xf numFmtId="0" fontId="21" fillId="4" borderId="0" xfId="0" applyFont="1" applyFill="1" applyBorder="1" applyAlignment="1" applyProtection="1">
      <alignment horizontal="center"/>
      <protection hidden="1"/>
    </xf>
    <xf numFmtId="0" fontId="16" fillId="0" borderId="1" xfId="1" applyFont="1" applyFill="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1" totalsRowShown="0" headerRowDxfId="12" headerRowBorderDxfId="11" tableBorderDxfId="10" totalsRowBorderDxfId="9">
  <autoFilter ref="A1:C111"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65"/>
  <sheetViews>
    <sheetView showGridLines="0" tabSelected="1" topLeftCell="I44" zoomScale="50" zoomScaleNormal="50" zoomScaleSheetLayoutView="33" zoomScalePageLayoutView="55" workbookViewId="0">
      <selection activeCell="S60" sqref="S60"/>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09" t="s">
        <v>16549</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G5"/>
      <c r="AH5"/>
    </row>
    <row r="6" spans="1:34" s="41" customFormat="1" ht="40.5" customHeight="1">
      <c r="A6" s="63"/>
      <c r="B6" s="62"/>
      <c r="C6" s="112" t="s">
        <v>15427</v>
      </c>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G6"/>
      <c r="AH6"/>
    </row>
    <row r="7" spans="1:34" ht="54" customHeight="1">
      <c r="C7" s="110" t="s">
        <v>15428</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05" t="s">
        <v>224</v>
      </c>
      <c r="D9" s="106"/>
      <c r="E9" s="106"/>
      <c r="F9" s="106"/>
      <c r="G9" s="106"/>
      <c r="H9" s="107"/>
      <c r="I9" s="105" t="str">
        <f>IFERROR(VLOOKUP('IR PP'!V9,Cat_URG!B1:C111,2,FALSE)," ")</f>
        <v>ALCALDÍA TLALPAN</v>
      </c>
      <c r="J9" s="106"/>
      <c r="K9" s="106"/>
      <c r="L9" s="106"/>
      <c r="M9" s="106"/>
      <c r="N9" s="106"/>
      <c r="O9" s="106"/>
      <c r="P9" s="106"/>
      <c r="Q9" s="106"/>
      <c r="R9" s="106"/>
      <c r="S9" s="106"/>
      <c r="T9" s="108" t="s">
        <v>15425</v>
      </c>
      <c r="U9" s="108"/>
      <c r="V9" s="113" t="s">
        <v>5053</v>
      </c>
      <c r="W9" s="113"/>
      <c r="X9" s="113"/>
      <c r="Y9" s="108" t="s">
        <v>15426</v>
      </c>
      <c r="Z9" s="108"/>
      <c r="AA9" s="108"/>
      <c r="AB9" s="105" t="s">
        <v>15432</v>
      </c>
      <c r="AC9" s="106"/>
      <c r="AD9" s="106"/>
      <c r="AE9" s="107"/>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0" t="s">
        <v>223</v>
      </c>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row>
    <row r="12" spans="1:34" ht="68.25" customHeight="1">
      <c r="B12" s="62" t="s">
        <v>15441</v>
      </c>
      <c r="C12" s="95" t="s">
        <v>16471</v>
      </c>
      <c r="D12" s="95" t="s">
        <v>16475</v>
      </c>
      <c r="E12" s="95" t="s">
        <v>16476</v>
      </c>
      <c r="F12" s="95" t="s">
        <v>16478</v>
      </c>
      <c r="G12" s="95" t="s">
        <v>16542</v>
      </c>
      <c r="H12" s="95" t="s">
        <v>15429</v>
      </c>
      <c r="I12" s="121" t="s">
        <v>15430</v>
      </c>
      <c r="J12" s="121"/>
      <c r="K12" s="121"/>
      <c r="L12" s="95" t="s">
        <v>16547</v>
      </c>
      <c r="M12" s="121" t="s">
        <v>16548</v>
      </c>
      <c r="N12" s="121"/>
      <c r="O12" s="121"/>
      <c r="P12" s="121" t="s">
        <v>15436</v>
      </c>
      <c r="Q12" s="121"/>
      <c r="R12" s="121"/>
      <c r="S12" s="114" t="s">
        <v>16541</v>
      </c>
      <c r="T12" s="115"/>
      <c r="U12" s="116"/>
      <c r="V12" s="94" t="s">
        <v>15435</v>
      </c>
      <c r="W12" s="95" t="s">
        <v>15437</v>
      </c>
      <c r="X12" s="95" t="s">
        <v>15438</v>
      </c>
      <c r="Y12" s="95" t="s">
        <v>15439</v>
      </c>
      <c r="Z12" s="95" t="s">
        <v>15440</v>
      </c>
      <c r="AA12" s="95" t="s">
        <v>16544</v>
      </c>
      <c r="AB12" s="95" t="s">
        <v>16550</v>
      </c>
      <c r="AC12" s="95" t="s">
        <v>16551</v>
      </c>
      <c r="AD12" s="95" t="s">
        <v>16552</v>
      </c>
      <c r="AE12" s="95" t="s">
        <v>16545</v>
      </c>
    </row>
    <row r="13" spans="1:34" ht="129.94999999999999"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101" t="str">
        <f>IFERROR(VLOOKUP(V$9&amp;A13,Concentrado_PB!A$3:I$1031,9,0)," ")</f>
        <v>E118_ACCIONES POLICIALES Y PREVENCIÓN DEL DELITO</v>
      </c>
      <c r="J13" s="101"/>
      <c r="K13" s="101"/>
      <c r="L13" s="75">
        <f>IFERROR(VLOOKUP(B13,Concentrado_PB!K2:AP1031,24,0)," ")</f>
        <v>1</v>
      </c>
      <c r="M13" s="101" t="str">
        <f>IFERROR(VLOOKUP(B13,Concentrado_PB!K$2:AP$1031,25,0)," ")</f>
        <v>IMPLEMENTAR ACCIONES QUE PERMITAN DISEÑAR UNA ESTRATEGIA INTEGRAL, QUE REDUZCAN LOS INDICES DE INSEGURIDAD EN LA DEMARCACION 3</v>
      </c>
      <c r="N13" s="101"/>
      <c r="O13" s="101"/>
      <c r="P13" s="101" t="str">
        <f>IFERROR(VLOOKUP(B13,Concentrado_PB!K$2:AP$1031,26,0)," ")</f>
        <v xml:space="preserve">NUMERO DE HECHOS VIOLENTOS OCURRIDOS EN LA ALCALDIA DURANTE EL PERIODO DE 2020 / NUMERO DE HECHOS VIOLENTOS OCURRIDOS EN LA ALCALDIA DURANTE EL PERIODO DE 2021 </v>
      </c>
      <c r="Q13" s="101"/>
      <c r="R13" s="101"/>
      <c r="S13" s="98" t="str">
        <f>IFERROR(VLOOKUP(B13,Concentrado_PB!K$2:AP$1031,28,0)," ")</f>
        <v>INFORMACION RESERVADA EMITIDA POR LA FISCALIA GENERAL DE LA REPUBLICA. DIRECCION DE SEGURIDAD PUBLICA DEL ALCALDIA, UBICADA EN PLAZA DE LA CONSTITUCION NO. 1 COLONIA TLALPAN CENTRO</v>
      </c>
      <c r="T13" s="99"/>
      <c r="U13" s="100"/>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97">
        <v>25</v>
      </c>
      <c r="AB13" s="92">
        <v>55377271</v>
      </c>
      <c r="AC13" s="92">
        <v>55377271</v>
      </c>
      <c r="AD13" s="93">
        <f>IFERROR((AC13/AB13)," ")</f>
        <v>1</v>
      </c>
      <c r="AE13" s="79"/>
      <c r="AG13" s="49"/>
    </row>
    <row r="14" spans="1:34" ht="129.94999999999999"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101" t="str">
        <f>IFERROR(VLOOKUP(V$9&amp;A14,Concentrado_PB!A$3:I$1031,9,0)," ")</f>
        <v>E122_REFORESTACIÓN EN SUELO DE CONSERVACIÓN</v>
      </c>
      <c r="J14" s="101"/>
      <c r="K14" s="101"/>
      <c r="L14" s="75">
        <f>IFERROR(VLOOKUP(B14,Concentrado_PB!K3:AP1032,24,0)," ")</f>
        <v>1</v>
      </c>
      <c r="M14" s="101" t="str">
        <f>IFERROR(VLOOKUP(B14,Concentrado_PB!K$2:AP$1031,25,0)," ")</f>
        <v xml:space="preserve">CONTRIBUIR AL MEJORAMIENTO DEL MEDIO AMBIENTE, MEDIANTE ACCIONES Y PROYECTOS QUE PRESERVEN LOS SERVICIOS AMBIENTALES DE LOS BOSQUES, AREAS NATURALES PROTEGIDAS Y SUELO DE CONSERVACION </v>
      </c>
      <c r="N14" s="101"/>
      <c r="O14" s="101"/>
      <c r="P14" s="101" t="str">
        <f>IFERROR(VLOOKUP(B14,Concentrado_PB!K$2:AP$1031,26,0)," ")</f>
        <v>INDICE DE MEJORA EN LOS SERVICIOS AMBIENTALES</v>
      </c>
      <c r="Q14" s="101"/>
      <c r="R14" s="101"/>
      <c r="S14" s="98" t="str">
        <f>IFERROR(VLOOKUP(B14,Concentrado_PB!K$2:AP$1031,28,0)," ")</f>
        <v xml:space="preserve"> A TRAVES DE ENCUESTAS</v>
      </c>
      <c r="T14" s="99"/>
      <c r="U14" s="100"/>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97">
        <v>96</v>
      </c>
      <c r="AB14" s="92">
        <v>76976129.790000007</v>
      </c>
      <c r="AC14" s="92">
        <v>76976129.790000007</v>
      </c>
      <c r="AD14" s="93">
        <f t="shared" ref="AD14:AD47" si="1">IFERROR((AC14/AB14)," ")</f>
        <v>1</v>
      </c>
      <c r="AE14" s="79"/>
      <c r="AG14" s="50"/>
    </row>
    <row r="15" spans="1:34" ht="129.94999999999999"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101" t="str">
        <f>IFERROR(VLOOKUP(V$9&amp;A15,Concentrado_PB!A$3:I$1031,9,0)," ")</f>
        <v>E123_MANEJO INTEGRAL DE RESIDUOS SÓLIDOS URBANOS</v>
      </c>
      <c r="J15" s="101"/>
      <c r="K15" s="101"/>
      <c r="L15" s="75">
        <f>IFERROR(VLOOKUP(B15,Concentrado_PB!K4:AP1033,24,0)," ")</f>
        <v>1</v>
      </c>
      <c r="M15" s="101" t="str">
        <f>IFERROR(VLOOKUP(B15,Concentrado_PB!K$2:AP$1031,25,0)," ")</f>
        <v>RECOLECCION, TRATAMIENTO Y DISPOSICION FINAL DE DESECHOS SOLIDOS Y PELIGROSOS, DE 410,000 TONELADAS</v>
      </c>
      <c r="N15" s="101"/>
      <c r="O15" s="101"/>
      <c r="P15" s="101" t="str">
        <f>IFERROR(VLOOKUP(B15,Concentrado_PB!K$2:AP$1031,26,0)," ")</f>
        <v>NO. DE TONELADAS RECOLECTADAS / NO. DE TONELADAS PROGRAMADAS X 100</v>
      </c>
      <c r="Q15" s="101"/>
      <c r="R15" s="101"/>
      <c r="S15" s="98" t="str">
        <f>IFERROR(VLOOKUP(B15,Concentrado_PB!K$2:AP$1031,28,0)," ")</f>
        <v>REPORTES MENSUALES Y TRIMESTRALES, DEMANDA CIUDADANA.</v>
      </c>
      <c r="T15" s="99"/>
      <c r="U15" s="100"/>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97">
        <v>50</v>
      </c>
      <c r="AB15" s="92">
        <v>31053221.52</v>
      </c>
      <c r="AC15" s="92">
        <v>30553221.52</v>
      </c>
      <c r="AD15" s="93">
        <f t="shared" si="1"/>
        <v>0.98389861098057174</v>
      </c>
      <c r="AE15" s="79"/>
    </row>
    <row r="16" spans="1:34" ht="129.94999999999999"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101" t="str">
        <f>IFERROR(VLOOKUP(V$9&amp;A16,Concentrado_PB!A$3:I$1031,9,0)," ")</f>
        <v>E124_PROGRAMA INTEGRAL DE MOVILIDAD INTELIGENTE</v>
      </c>
      <c r="J16" s="101"/>
      <c r="K16" s="101"/>
      <c r="L16" s="75">
        <f>IFERROR(VLOOKUP(B16,Concentrado_PB!K5:AP1034,24,0)," ")</f>
        <v>1</v>
      </c>
      <c r="M16" s="101" t="str">
        <f>IFERROR(VLOOKUP(B16,Concentrado_PB!K$2:AP$1031,25,0)," ")</f>
        <v xml:space="preserve">MEJORAR LA MOVILIDAD DE LA POBLACION A TRAVES DE ACCIONES DE CONSERVACION, MANTENIMIENTO Y REHABILITACION </v>
      </c>
      <c r="N16" s="101"/>
      <c r="O16" s="101"/>
      <c r="P16" s="101" t="str">
        <f>IFERROR(VLOOKUP(B16,Concentrado_PB!K$2:AP$1031,26,0)," ")</f>
        <v xml:space="preserve"> NUMERO DE PERSONAS BENEFICIADAS /  NUMERO DE POBLACION TOTAL 677,000*100</v>
      </c>
      <c r="Q16" s="101"/>
      <c r="R16" s="101"/>
      <c r="S16" s="98"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99"/>
      <c r="U16" s="100"/>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97">
        <f>10.5+0.24</f>
        <v>10.74</v>
      </c>
      <c r="AB16" s="92">
        <v>14292985.09</v>
      </c>
      <c r="AC16" s="92">
        <v>579729.74</v>
      </c>
      <c r="AD16" s="93">
        <f t="shared" si="1"/>
        <v>4.0560438309391676E-2</v>
      </c>
      <c r="AE16" s="79"/>
    </row>
    <row r="17" spans="1:31" ht="129.94999999999999"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101" t="str">
        <f>IFERROR(VLOOKUP(V$9&amp;A17,Concentrado_PB!A$3:I$1031,9,0)," ")</f>
        <v>E134_ATENCIÓN INTEGRAL PARA EL DESARROLLO INFANTIL</v>
      </c>
      <c r="J17" s="101"/>
      <c r="K17" s="101"/>
      <c r="L17" s="75">
        <f>IFERROR(VLOOKUP(B17,Concentrado_PB!K6:AP1035,24,0)," ")</f>
        <v>450</v>
      </c>
      <c r="M17" s="101" t="str">
        <f>IFERROR(VLOOKUP(B17,Concentrado_PB!K$2:AP$1031,25,0)," ")</f>
        <v>PROVEER A LOS 5 CENTROS DE DESARROLLO INFANTIL DE LA ALCALDIA DE INSUMOS, MATERIALES Y SERVICIOS NECESARIOS PARA SU CORRECTO FUNCIONAMIENTO, A FIN DE ATENDER A UNA POBLACION QUE VA HASTA LOS 450 INFANTES</v>
      </c>
      <c r="N17" s="101"/>
      <c r="O17" s="101"/>
      <c r="P17" s="101" t="str">
        <f>IFERROR(VLOOKUP(B17,Concentrado_PB!K$2:AP$1031,26,0)," ")</f>
        <v>NUMERO DE INFANTES ATENDIDOS EN EL EJERCICIO DE EJECUCION
LA ∑ DE LAS MATRICULAS REGISTRADAS EN CADA CENDI DE LA ALCALDIA</v>
      </c>
      <c r="Q17" s="101"/>
      <c r="R17" s="101"/>
      <c r="S17" s="98" t="str">
        <f>IFERROR(VLOOKUP(B17,Concentrado_PB!K$2:AP$1031,28,0)," ")</f>
        <v>MATRICULA REGISTRADA MEDIANTE INSCRIPCIONES EN LOS 5 CENTROS DE DESARROLLO INFANTIL(CENDIS) DE LA ALCALDIA</v>
      </c>
      <c r="T17" s="99"/>
      <c r="U17" s="100"/>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97">
        <v>0</v>
      </c>
      <c r="AB17" s="92">
        <v>86825</v>
      </c>
      <c r="AC17" s="92">
        <v>86825</v>
      </c>
      <c r="AD17" s="93">
        <f t="shared" si="1"/>
        <v>1</v>
      </c>
      <c r="AE17" s="79"/>
    </row>
    <row r="18" spans="1:31" ht="129.94999999999999"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101" t="str">
        <f>IFERROR(VLOOKUP(V$9&amp;A18,Concentrado_PB!A$3:I$1031,9,0)," ")</f>
        <v>F032_PROMOCIÓN DE LA CULTURA FÍSICA Y DEPORTIVA</v>
      </c>
      <c r="J18" s="101"/>
      <c r="K18" s="101"/>
      <c r="L18" s="75">
        <f>IFERROR(VLOOKUP(B18,Concentrado_PB!K7:AP1036,24,0)," ")</f>
        <v>1</v>
      </c>
      <c r="M18" s="101"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1"/>
      <c r="O18" s="101"/>
      <c r="P18" s="101" t="str">
        <f>IFERROR(VLOOKUP(B18,Concentrado_PB!K$2:AP$1031,26,0)," ")</f>
        <v>ATENCION AL 15% DE LOS HABITANTES DEL ALCALDIA</v>
      </c>
      <c r="Q18" s="101"/>
      <c r="R18" s="101"/>
      <c r="S18" s="98"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99"/>
      <c r="U18" s="100"/>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97">
        <v>0</v>
      </c>
      <c r="AB18" s="92">
        <v>1208500</v>
      </c>
      <c r="AC18" s="92">
        <v>1208500</v>
      </c>
      <c r="AD18" s="93">
        <f t="shared" si="1"/>
        <v>1</v>
      </c>
      <c r="AE18" s="79"/>
    </row>
    <row r="19" spans="1:31" ht="129.94999999999999"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101" t="str">
        <f>IFERROR(VLOOKUP(V$9&amp;A19,Concentrado_PB!A$3:I$1031,9,0)," ")</f>
        <v>K014_INFRAESTRUCTURA DE AGUA POTABLE, ALCANTARILLADO Y SANEAMIENTO</v>
      </c>
      <c r="J19" s="101"/>
      <c r="K19" s="101"/>
      <c r="L19" s="75">
        <f>IFERROR(VLOOKUP(B19,Concentrado_PB!K8:AP1037,24,0)," ")</f>
        <v>1</v>
      </c>
      <c r="M19" s="101" t="str">
        <f>IFERROR(VLOOKUP(B19,Concentrado_PB!K$2:AP$1031,25,0)," ")</f>
        <v xml:space="preserve">MEJORAR INFRAESTRUCTURA DE AGUA POTABLE Y ALCANTARILLADO A TRAVES DEL  SUMINISTRO DE AGUA POTABLE EN PIPAS,  REHABILITACION DE LAS REDES DE DRENAJE, DE AGUA POTABLE Y DESAZOLVE  </v>
      </c>
      <c r="N19" s="101"/>
      <c r="O19" s="101"/>
      <c r="P19" s="101" t="str">
        <f>IFERROR(VLOOKUP(B19,Concentrado_PB!K$2:AP$1031,26,0)," ")</f>
        <v>NUMERO DE PERSONAS BENEFICIADAS/NUMERO DE LA POBLACION TOTAL DE 677,000*100</v>
      </c>
      <c r="Q19" s="101"/>
      <c r="R19" s="101"/>
      <c r="S19" s="98"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99"/>
      <c r="U19" s="100"/>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97">
        <v>0.3</v>
      </c>
      <c r="AB19" s="92">
        <v>29333365.84</v>
      </c>
      <c r="AC19" s="92">
        <v>29333365.84</v>
      </c>
      <c r="AD19" s="93">
        <f t="shared" si="1"/>
        <v>1</v>
      </c>
      <c r="AE19" s="79"/>
    </row>
    <row r="20" spans="1:31" ht="129.94999999999999"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101" t="str">
        <f>IFERROR(VLOOKUP(V$9&amp;A20,Concentrado_PB!A$3:I$1031,9,0)," ")</f>
        <v>K015_CONSTRUCCIÓN DE INFRAESTRUCTURA PÚBLICA</v>
      </c>
      <c r="J20" s="101"/>
      <c r="K20" s="101"/>
      <c r="L20" s="75">
        <f>IFERROR(VLOOKUP(B20,Concentrado_PB!K9:AP1038,24,0)," ")</f>
        <v>1</v>
      </c>
      <c r="M20" s="101" t="str">
        <f>IFERROR(VLOOKUP(B20,Concentrado_PB!K$2:AP$1031,25,0)," ")</f>
        <v>MEJORAR LAS CONDICIONES DE LA POBLACION CON OBRAS DE INFRAESTRUCTURA DEPORTIVA, EDUCATIVA,  SOCIAL, CULTURAL, COMERCIAL ETC.</v>
      </c>
      <c r="N20" s="101"/>
      <c r="O20" s="101"/>
      <c r="P20" s="101" t="str">
        <f>IFERROR(VLOOKUP(B20,Concentrado_PB!K$2:AP$1031,26,0)," ")</f>
        <v>NUMERO DE PERSONAS BENEFICIADAS /  NUMERO DE POBLACION TOTAL 677,000*100</v>
      </c>
      <c r="Q20" s="101"/>
      <c r="R20" s="101"/>
      <c r="S20" s="98"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99"/>
      <c r="U20" s="100"/>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97">
        <v>0</v>
      </c>
      <c r="AB20" s="92">
        <v>8153718.459999999</v>
      </c>
      <c r="AC20" s="92">
        <v>8153718.459999999</v>
      </c>
      <c r="AD20" s="93">
        <f t="shared" si="1"/>
        <v>1</v>
      </c>
      <c r="AE20" s="79"/>
    </row>
    <row r="21" spans="1:31" ht="129.94999999999999"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101" t="str">
        <f>IFERROR(VLOOKUP(V$9&amp;A21,Concentrado_PB!A$3:I$1031,9,0)," ")</f>
        <v>K016_REHABILITACIÓN Y MANTENIMIENTO DE INFRAESTRUCTURA PÚBLICA</v>
      </c>
      <c r="J21" s="101"/>
      <c r="K21" s="101"/>
      <c r="L21" s="75">
        <f>IFERROR(VLOOKUP(B21,Concentrado_PB!K10:AP1039,24,0)," ")</f>
        <v>1</v>
      </c>
      <c r="M21" s="101" t="str">
        <f>IFERROR(VLOOKUP(B21,Concentrado_PB!K$2:AP$1031,25,0)," ")</f>
        <v>MEJORAR LAS CONDICIONES DE LA POBLACION CON OBRAS DE REHABILITACION Y MANTENIMIENTO PARA LA INFRAESTRUCTURA  DEPORTIVA, EDUCATIVA,  SOCIAL, CULTURAL, COMERCIAL, MEJORA LAS CONDICIONES DE LA POBLACION EN GENERAL. 105</v>
      </c>
      <c r="N21" s="101"/>
      <c r="O21" s="101"/>
      <c r="P21" s="101" t="str">
        <f>IFERROR(VLOOKUP(B21,Concentrado_PB!K$2:AP$1031,26,0)," ")</f>
        <v>NUMERO DE PERSONAS BENEFICIADAS /  NUMERO DE POBLACION TOTAL 677,000*100</v>
      </c>
      <c r="Q21" s="101"/>
      <c r="R21" s="101"/>
      <c r="S21" s="98"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99"/>
      <c r="U21" s="100"/>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97">
        <f>57.7+0.13</f>
        <v>57.830000000000005</v>
      </c>
      <c r="AB21" s="92">
        <v>18415281.050000001</v>
      </c>
      <c r="AC21" s="92">
        <v>18415167.370000001</v>
      </c>
      <c r="AD21" s="93">
        <f t="shared" si="1"/>
        <v>0.99999382686586802</v>
      </c>
      <c r="AE21" s="79"/>
    </row>
    <row r="22" spans="1:31" ht="129.94999999999999"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101" t="str">
        <f>IFERROR(VLOOKUP(V$9&amp;A22,Concentrado_PB!A$3:I$1031,9,0)," ")</f>
        <v>M001_ACTIVIDADES DE APOYO ADMINISTRATIVO</v>
      </c>
      <c r="J22" s="101"/>
      <c r="K22" s="101"/>
      <c r="L22" s="75">
        <f>IFERROR(VLOOKUP(B22,Concentrado_PB!K11:AP1040,24,0)," ")</f>
        <v>1</v>
      </c>
      <c r="M22" s="101" t="str">
        <f>IFERROR(VLOOKUP(B22,Concentrado_PB!K$2:AP$1031,25,0)," ")</f>
        <v xml:space="preserve">ATENDER LAS NECESIDADES EN MATERIA DE SERVICIOS ADMINISTRATIVOS QUE REQUIERE LA ESTRUCTURA OPERATIVA DE LA DEMARCACION TERRITORIAL. </v>
      </c>
      <c r="N22" s="101"/>
      <c r="O22" s="101"/>
      <c r="P22" s="101" t="str">
        <f>IFERROR(VLOOKUP(B22,Concentrado_PB!K$2:AP$1031,26,0)," ")</f>
        <v>TOTAL DE SOLICITUDES DE SERVICIOS ATENDIDAS/ TOTAL DE SERVICIOS POGRAMADOS *100</v>
      </c>
      <c r="Q22" s="101"/>
      <c r="R22" s="101"/>
      <c r="S22" s="98" t="str">
        <f>IFERROR(VLOOKUP(B22,Concentrado_PB!K$2:AP$1031,28,0)," ")</f>
        <v>INFORME DE AVANCE TRIMESTRAL. CONTROLES INTERNOS DE LAS AREAS QUE INTEGRAN A LA DIRECCION GENERAL DE ADMINISTRACION</v>
      </c>
      <c r="T22" s="99"/>
      <c r="U22" s="100"/>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97">
        <v>50</v>
      </c>
      <c r="AB22" s="96">
        <v>536740007.34000003</v>
      </c>
      <c r="AC22" s="96">
        <v>536578418.08000004</v>
      </c>
      <c r="AD22" s="93">
        <f t="shared" si="1"/>
        <v>0.99969894314232177</v>
      </c>
      <c r="AE22" s="79"/>
    </row>
    <row r="23" spans="1:31" ht="129.94999999999999"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101" t="str">
        <f>IFERROR(VLOOKUP(V$9&amp;A23,Concentrado_PB!A$3:I$1031,9,0)," ")</f>
        <v>N001_CUMPLIMIENTO DE LOS PROGRAMAS DE PROTECCIÓN CIVIL</v>
      </c>
      <c r="J23" s="101"/>
      <c r="K23" s="101"/>
      <c r="L23" s="75">
        <f>IFERROR(VLOOKUP(B23,Concentrado_PB!K12:AP1041,24,0)," ")</f>
        <v>4</v>
      </c>
      <c r="M23" s="101"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1"/>
      <c r="O23" s="101"/>
      <c r="P23" s="101" t="str">
        <f>IFERROR(VLOOKUP(B23,Concentrado_PB!K$2:AP$1031,26,0)," ")</f>
        <v xml:space="preserve">ACCIONES IMPLEMENTADAS PARA LA PREVENCION, DISMINUCION Y MITIGACION DE RIESGOS/ACCIONES IMPLEMENTADAS PARA LA PREVENCION, DISMINUCION Y MITIGACION DE RIESGOS PROGRAMADAS                                                                    </v>
      </c>
      <c r="Q23" s="101"/>
      <c r="R23" s="101"/>
      <c r="S23" s="98" t="str">
        <f>IFERROR(VLOOKUP(B23,Concentrado_PB!K$2:AP$1031,28,0)," ")</f>
        <v>INFORME AL CONSEJO DE PROTECCION CIVIL</v>
      </c>
      <c r="T23" s="99"/>
      <c r="U23" s="100"/>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97">
        <v>23.05</v>
      </c>
      <c r="AB23" s="92">
        <v>4098849</v>
      </c>
      <c r="AC23" s="92">
        <v>4098849</v>
      </c>
      <c r="AD23" s="93">
        <f t="shared" si="1"/>
        <v>1</v>
      </c>
      <c r="AE23" s="79"/>
    </row>
    <row r="24" spans="1:31" ht="129.94999999999999"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101" t="str">
        <f>IFERROR(VLOOKUP(V$9&amp;A24,Concentrado_PB!A$3:I$1031,9,0)," ")</f>
        <v>O001_ACTIVIDADES DE APOYO A LA FUNCIÓN PÚBLICA Y BUEN GOBIERNO</v>
      </c>
      <c r="J24" s="101"/>
      <c r="K24" s="101"/>
      <c r="L24" s="75">
        <f>IFERROR(VLOOKUP(B24,Concentrado_PB!K13:AP1042,24,0)," ")</f>
        <v>1</v>
      </c>
      <c r="M24" s="101" t="str">
        <f>IFERROR(VLOOKUP(B24,Concentrado_PB!K$2:AP$1031,25,0)," ")</f>
        <v>MIDE LAS SOLICTUDES DE INFORMACION RECIBIDAS Y ATENDIDAS  EN LOS PLAZOS ESTABLECIDOS POR EL ORGANO GARANTE</v>
      </c>
      <c r="N24" s="101"/>
      <c r="O24" s="101"/>
      <c r="P24" s="101" t="str">
        <f>IFERROR(VLOOKUP(B24,Concentrado_PB!K$2:AP$1031,26,0)," ")</f>
        <v>TOTAL DE SOLICITUDES RECIBIDAS/ TOTAL DE SOLICITUDES ATENDIDAS *100</v>
      </c>
      <c r="Q24" s="101"/>
      <c r="R24" s="101"/>
      <c r="S24" s="98" t="str">
        <f>IFERROR(VLOOKUP(B24,Concentrado_PB!K$2:AP$1031,28,0)," ")</f>
        <v>INFORMES DE AUDITORIA. CONTROLES INTERNOS DE LAS AREAS QUE INTEGRAN A LA DIRECCION GENERAL DE ADMINISTRACION Y PORTAL DE TRANSPARENCIA</v>
      </c>
      <c r="T24" s="99"/>
      <c r="U24" s="100"/>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97">
        <v>0</v>
      </c>
      <c r="AB24" s="92">
        <v>49269866.439999998</v>
      </c>
      <c r="AC24" s="92">
        <v>47906082.339999996</v>
      </c>
      <c r="AD24" s="93">
        <f t="shared" si="1"/>
        <v>0.97232011778110272</v>
      </c>
      <c r="AE24" s="79"/>
    </row>
    <row r="25" spans="1:31" ht="129.94999999999999"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101" t="str">
        <f>IFERROR(VLOOKUP(V$9&amp;A25,Concentrado_PB!A$3:I$1031,9,0)," ")</f>
        <v>P001_PROMOCIÓN INTEGRAL PARA EL CUMPLIMIENTO DE LOS DERECHOS HUMANOS DE LAS NIÑAS Y MUJERES</v>
      </c>
      <c r="J25" s="101"/>
      <c r="K25" s="101"/>
      <c r="L25" s="75">
        <f>IFERROR(VLOOKUP(B25,Concentrado_PB!K14:AP1043,24,0)," ")</f>
        <v>8</v>
      </c>
      <c r="M25" s="101"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1"/>
      <c r="O25" s="101"/>
      <c r="P25" s="101" t="str">
        <f>IFERROR(VLOOKUP(B25,Concentrado_PB!K$2:AP$1031,26,0)," ")</f>
        <v>ACCIONES PROGRAMADAS/ACCIONES REALIZADAS*100</v>
      </c>
      <c r="Q25" s="101"/>
      <c r="R25" s="101"/>
      <c r="S25" s="98" t="str">
        <f>IFERROR(VLOOKUP(B25,Concentrado_PB!K$2:AP$1031,28,0)," ")</f>
        <v>INFORMES DE LAS ACCIONES REALIZADAS</v>
      </c>
      <c r="T25" s="99"/>
      <c r="U25" s="100"/>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97">
        <v>6</v>
      </c>
      <c r="AB25" s="92">
        <v>0</v>
      </c>
      <c r="AC25" s="92">
        <v>0</v>
      </c>
      <c r="AD25" s="93" t="str">
        <f t="shared" si="1"/>
        <v xml:space="preserve"> </v>
      </c>
      <c r="AE25" s="79"/>
    </row>
    <row r="26" spans="1:31" ht="129.94999999999999"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101" t="str">
        <f>IFERROR(VLOOKUP(V$9&amp;A26,Concentrado_PB!A$3:I$1031,9,0)," ")</f>
        <v>P002_PROMOCIÓN INTEGRAL PARA EL CUMPLIMIENTO DE LOS DERECHOS HUMANOS</v>
      </c>
      <c r="J26" s="101"/>
      <c r="K26" s="101"/>
      <c r="L26" s="75">
        <f>IFERROR(VLOOKUP(B26,Concentrado_PB!K15:AP1044,24,0)," ")</f>
        <v>1100</v>
      </c>
      <c r="M26" s="101"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01"/>
      <c r="O26" s="101"/>
      <c r="P26" s="101" t="str">
        <f>IFERROR(VLOOKUP(B26,Concentrado_PB!K$2:AP$1031,26,0)," ")</f>
        <v>ACCIONES PROGRAMADAS/ACCIONES REALIZADAS*100</v>
      </c>
      <c r="Q26" s="101"/>
      <c r="R26" s="101"/>
      <c r="S26" s="98" t="str">
        <f>IFERROR(VLOOKUP(B26,Concentrado_PB!K$2:AP$1031,28,0)," ")</f>
        <v>INFORMES DE LAS ACCIONES REALIZADAS, CONTENIDOS EN LOS INFORMES TRIMESTRALES QUE SE PUBLICAN EN LA PAGINA DE LA ALCALDIA.</v>
      </c>
      <c r="T26" s="99"/>
      <c r="U26" s="100"/>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97">
        <v>53</v>
      </c>
      <c r="AB26" s="92">
        <v>43426303.640000001</v>
      </c>
      <c r="AC26" s="92">
        <v>43426303.549999997</v>
      </c>
      <c r="AD26" s="93">
        <f t="shared" si="1"/>
        <v>0.99999999792752325</v>
      </c>
      <c r="AE26" s="79"/>
    </row>
    <row r="27" spans="1:31" ht="129.94999999999999"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101" t="str">
        <f>IFERROR(VLOOKUP(V$9&amp;A27,Concentrado_PB!A$3:I$1031,9,0)," ")</f>
        <v xml:space="preserve">P004_PROMOCIÓN INTEGRAL PARA EL CUMPLIMIENTO DE LOS DERECHOS DE LA NIÑEZ Y DE LA ADOLESCENCIA </v>
      </c>
      <c r="J27" s="101"/>
      <c r="K27" s="101"/>
      <c r="L27" s="75">
        <f>IFERROR(VLOOKUP(B27,Concentrado_PB!K16:AP1045,24,0)," ")</f>
        <v>1</v>
      </c>
      <c r="M27" s="101" t="str">
        <f>IFERROR(VLOOKUP(B27,Concentrado_PB!K$2:AP$1031,25,0)," ")</f>
        <v>PORCENTAJE DE ACTIVIDADES REALIZADAS A EFECTO DE CONCIENTIZAR SOBRE LOS DERECHOS DE LAS NIÑAS, NIÑOS Y ADOLESCENTES A LOS SERVIDORES PÚBLICOS DE LA INSTITUCIÓN.</v>
      </c>
      <c r="N27" s="101"/>
      <c r="O27" s="101"/>
      <c r="P27" s="120" t="str">
        <f>IFERROR(VLOOKUP(B27,Concentrado_PB!K$2:AP$1031,26,0)," ")</f>
        <v>(ACTIVIDADES PLANEADAS PARA CONCIENTIZAR SOBRE LOS DERECHOS DE LAS NIÑAS, NIÑOS Y ADOLESCENTES) / (ACTIVIDADES REALIZADAS PARA CONCIENTIZAR SOBRE LOS DERECHOS DE LAS NIÑAS, NIÑOS Y ADOLESCENTES)</v>
      </c>
      <c r="Q27" s="120"/>
      <c r="R27" s="120"/>
      <c r="S27" s="102" t="str">
        <f>IFERROR(VLOOKUP(B27,Concentrado_PB!K$2:AP$1031,28,0)," ")</f>
        <v>N/A</v>
      </c>
      <c r="T27" s="103"/>
      <c r="U27" s="104"/>
      <c r="V27" s="76" t="str">
        <f>IFERROR(VLOOKUP(B27,Concentrado_PB!K$2:AP$1031,27,0)," ")</f>
        <v>PORCENTAJE</v>
      </c>
      <c r="W27" s="76">
        <f>IFERROR(VLOOKUP(B27,Concentrado_PB!K$2:AP$1031,29,0)," ")</f>
        <v>0</v>
      </c>
      <c r="X27" s="76">
        <f>IFERROR(VLOOKUP(B27,Concentrado_PB!K$2:AP$1031,30,0)," ")</f>
        <v>0.5</v>
      </c>
      <c r="Y27" s="76">
        <f>IFERROR(VLOOKUP(B27,Concentrado_PB!K$2:AP$1031,31,0)," ")</f>
        <v>1</v>
      </c>
      <c r="Z27" s="76">
        <f>IFERROR(VLOOKUP(B27,Concentrado_PB!K$2:AP$1031,32,0)," ")</f>
        <v>1</v>
      </c>
      <c r="AA27" s="97">
        <v>0</v>
      </c>
      <c r="AB27" s="92">
        <v>3081223.34</v>
      </c>
      <c r="AC27" s="92">
        <v>446905.34</v>
      </c>
      <c r="AD27" s="93">
        <f t="shared" si="1"/>
        <v>0.14504152756417846</v>
      </c>
      <c r="AE27" s="79"/>
    </row>
    <row r="28" spans="1:31" ht="129.94999999999999"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101" t="str">
        <f>IFERROR(VLOOKUP(V$9&amp;A28,Concentrado_PB!A$3:I$1031,9,0)," ")</f>
        <v>S126_COMUNIDAD   HUEHUEYOTL,  APOYO   A  COLECTIVOS   DE  PERSONAS ADULTAS MAYORES</v>
      </c>
      <c r="J28" s="101"/>
      <c r="K28" s="101"/>
      <c r="L28" s="75">
        <f>IFERROR(VLOOKUP(B28,Concentrado_PB!K17:AP1046,24,0)," ")</f>
        <v>2.3E-2</v>
      </c>
      <c r="M28" s="101" t="str">
        <f>IFERROR(VLOOKUP(B28,Concentrado_PB!K$2:AP$1031,25,0)," ")</f>
        <v>MIDE EL NUMERO DE PERSONAS ADULTAS MAYORES QUE PARTICIPAN EN LOS COLECTIVOS Y REDES DE APOYO.</v>
      </c>
      <c r="N28" s="101"/>
      <c r="O28" s="101"/>
      <c r="P28" s="101" t="str">
        <f>IFERROR(VLOOKUP(B28,Concentrado_PB!K$2:AP$1031,26,0)," ")</f>
        <v>(PERSONAS ADULTAS MAYORES QUE PARTICIPAN EN LOS COLECTIVOS Y REDES DE APOYO / NUMERO DE PERSONAS ADULTAS MAYORES DE LA DEMARCACION) * 100</v>
      </c>
      <c r="Q28" s="101"/>
      <c r="R28" s="101"/>
      <c r="S28" s="98"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99"/>
      <c r="U28" s="100"/>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97">
        <v>0</v>
      </c>
      <c r="AB28" s="92">
        <v>416000</v>
      </c>
      <c r="AC28" s="92">
        <v>416000</v>
      </c>
      <c r="AD28" s="93">
        <f t="shared" si="1"/>
        <v>1</v>
      </c>
      <c r="AE28" s="79"/>
    </row>
    <row r="29" spans="1:31" ht="129.94999999999999"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101" t="str">
        <f>IFERROR(VLOOKUP(V$9&amp;A29,Concentrado_PB!A$3:I$1031,9,0)," ")</f>
        <v>S127_MOCHILA DE DERECHOS</v>
      </c>
      <c r="J29" s="101"/>
      <c r="K29" s="101"/>
      <c r="L29" s="75">
        <f>IFERROR(VLOOKUP(B29,Concentrado_PB!K18:AP1047,24,0)," ")</f>
        <v>1.7100000000000001E-2</v>
      </c>
      <c r="M29" s="101" t="str">
        <f>IFERROR(VLOOKUP(B29,Concentrado_PB!K$2:AP$1031,25,0)," ")</f>
        <v>MIDE EL NUMERO DE NIÑAS, NIÑOS, ADOLESCENTES, JOVENES, PERSONAS ADULTAS Y PERSONAS ADULTAS MAYORES BENEFICIADOS CON TALLERES.</v>
      </c>
      <c r="N29" s="101"/>
      <c r="O29" s="101"/>
      <c r="P29" s="101" t="str">
        <f>IFERROR(VLOOKUP(B29,Concentrado_PB!K$2:AP$1031,26,0)," ")</f>
        <v>(NUMERO NIÑAS, NIÑOS, ADOLESCENTES, JOVENES, PERSONAS ADULTAS Y PERSONAS ADULTAS MAYORES BENEFICIADOS CON TALLERES/ NUMERO DE PERSONAS QUE HABITAN EN ZONAS DE MUY BAJO Y BAJO INDICE DE DESARROLLO SOCIAL)*100</v>
      </c>
      <c r="Q29" s="101"/>
      <c r="R29" s="101"/>
      <c r="S29" s="98"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99"/>
      <c r="U29" s="100"/>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97">
        <v>14</v>
      </c>
      <c r="AB29" s="92">
        <v>4518181.75</v>
      </c>
      <c r="AC29" s="92">
        <v>4518181.75</v>
      </c>
      <c r="AD29" s="93">
        <f t="shared" si="1"/>
        <v>1</v>
      </c>
      <c r="AE29" s="79"/>
    </row>
    <row r="30" spans="1:31" ht="129.94999999999999"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101" t="str">
        <f>IFERROR(VLOOKUP(V$9&amp;A30,Concentrado_PB!A$3:I$1031,9,0)," ")</f>
        <v>S128_DEFENSORÍA  DE  LOS  DERECHOS  Y  APOYOS  ECONÓMICOS  A NIÑAS  Y NIÑOS DE TLALPAN</v>
      </c>
      <c r="J30" s="101"/>
      <c r="K30" s="101"/>
      <c r="L30" s="75">
        <f>IFERROR(VLOOKUP(B30,Concentrado_PB!K19:AP1048,24,0)," ")</f>
        <v>0.01</v>
      </c>
      <c r="M30" s="101" t="str">
        <f>IFERROR(VLOOKUP(B30,Concentrado_PB!K$2:AP$1031,25,0)," ")</f>
        <v xml:space="preserve">MIDE EL NUMERO DE NIÑAS, NIÑAS Y ADOLESCENTES QUE RECIBEN APOYO ECONOMICO Y PARTICIPAN EN LOS TALLERES. </v>
      </c>
      <c r="N30" s="101"/>
      <c r="O30" s="101"/>
      <c r="P30" s="101" t="str">
        <f>IFERROR(VLOOKUP(B30,Concentrado_PB!K$2:AP$1031,26,0)," ")</f>
        <v>(NUMERO DE NIÑAS, NIÑOS Y ADOLESCENTES QUE RECIBEN EL APOYO ECONOMICO Y PARTICIPAN EN LOS TALLERES / NUMERO DE NIÑAS, NIÑOS Y ADOLESCENTES DE 5 A 14 AÑOS QUE RESIDEN EN LA DEMARCACION) * 100</v>
      </c>
      <c r="Q30" s="101"/>
      <c r="R30" s="101"/>
      <c r="S30" s="98"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99"/>
      <c r="U30" s="100"/>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97">
        <v>25</v>
      </c>
      <c r="AB30" s="92">
        <v>4938545</v>
      </c>
      <c r="AC30" s="92">
        <v>4938545</v>
      </c>
      <c r="AD30" s="93">
        <f t="shared" si="1"/>
        <v>1</v>
      </c>
      <c r="AE30" s="79"/>
    </row>
    <row r="31" spans="1:31" ht="129.94999999999999"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101" t="str">
        <f>IFERROR(VLOOKUP(V$9&amp;A31,Concentrado_PB!A$3:I$1031,9,0)," ")</f>
        <v>S129_ASESORÍAS   PARA  EL   EXAMEN  DE   INGRESO  A   LA   EDUCACIÓN  MEDIA SUPERIOR</v>
      </c>
      <c r="J31" s="101"/>
      <c r="K31" s="101"/>
      <c r="L31" s="75">
        <f>IFERROR(VLOOKUP(B31,Concentrado_PB!K20:AP1049,24,0)," ")</f>
        <v>0.17499999999999999</v>
      </c>
      <c r="M31" s="101" t="str">
        <f>IFERROR(VLOOKUP(B31,Concentrado_PB!K$2:AP$1031,25,0)," ")</f>
        <v xml:space="preserve">MIDE LA CANTIDAD DE ALUMNOS QUE RECIBEN ASESORIAS DE PREPARACION </v>
      </c>
      <c r="N31" s="101"/>
      <c r="O31" s="101"/>
      <c r="P31" s="101" t="str">
        <f>IFERROR(VLOOKUP(B31,Concentrado_PB!K$2:AP$1031,26,0)," ")</f>
        <v>(NUMERO DE ALUMNOS QUE RECIBEN LAS ASESORIAS DE PREPARACION / NUMERO DE NIÑAS Y NIÑOS QUE EGRESAN DE TERCER AÑO DE SECUNDARIA) * 100</v>
      </c>
      <c r="Q31" s="101"/>
      <c r="R31" s="101"/>
      <c r="S31" s="98"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99"/>
      <c r="U31" s="100"/>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97">
        <v>100</v>
      </c>
      <c r="AB31" s="92">
        <v>1399975</v>
      </c>
      <c r="AC31" s="92">
        <v>1399975</v>
      </c>
      <c r="AD31" s="93">
        <f t="shared" si="1"/>
        <v>1</v>
      </c>
      <c r="AE31" s="79"/>
    </row>
    <row r="32" spans="1:31" ht="129.94999999999999"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101" t="str">
        <f>IFERROR(VLOOKUP(V$9&amp;A32,Concentrado_PB!A$3:I$1031,9,0)," ")</f>
        <v>S130_EDUCARNOS EN COMUNIDAD PARA EL BIENESTAR SOCIAL</v>
      </c>
      <c r="J32" s="101"/>
      <c r="K32" s="101"/>
      <c r="L32" s="75">
        <f>IFERROR(VLOOKUP(B32,Concentrado_PB!K21:AP1050,24,0)," ")</f>
        <v>1.6E-2</v>
      </c>
      <c r="M32" s="101" t="str">
        <f>IFERROR(VLOOKUP(B32,Concentrado_PB!K$2:AP$1031,25,0)," ")</f>
        <v>MIDE EL NUMERO DE PERSONAS QUE RECIBEN ALGUN TIPO DE ASESORIA, ORIENTACION Y ACOMPAÑAMIENTO EDUCATIVO.</v>
      </c>
      <c r="N32" s="101"/>
      <c r="O32" s="101"/>
      <c r="P32" s="101" t="str">
        <f>IFERROR(VLOOKUP(B32,Concentrado_PB!K$2:AP$1031,26,0)," ")</f>
        <v>(NUMERO DE PERSONAS QUE RECIBEN ALGUN TIPO DE ASESORIA, ORIENTACION Y ACOMPAÑAMIENTO EDUCATIVO / NUMERO DE PERSONAS DE 15 AÑOS Y MAS QUE HABITAN EN LA ALCALDIA DE TLALPAN) * 100</v>
      </c>
      <c r="Q32" s="101"/>
      <c r="R32" s="101"/>
      <c r="S32" s="98"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99"/>
      <c r="U32" s="100"/>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97">
        <v>100</v>
      </c>
      <c r="AB32" s="92">
        <v>6249950</v>
      </c>
      <c r="AC32" s="92">
        <v>6249950</v>
      </c>
      <c r="AD32" s="93">
        <f t="shared" si="1"/>
        <v>1</v>
      </c>
      <c r="AE32" s="79"/>
    </row>
    <row r="33" spans="1:31" ht="129.94999999999999"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101" t="str">
        <f>IFERROR(VLOOKUP(V$9&amp;A33,Concentrado_PB!A$3:I$1031,9,0)," ")</f>
        <v>S132_APOYO  PROFESIONAL A LA POBLACIÓN EN SUS TAREAS EDUCATIVAS EN LAS BIBLIOTECAS PÚBLICAS</v>
      </c>
      <c r="J33" s="101"/>
      <c r="K33" s="101"/>
      <c r="L33" s="75">
        <f>IFERROR(VLOOKUP(B33,Concentrado_PB!K22:AP1051,24,0)," ")</f>
        <v>1.0999999999999999E-2</v>
      </c>
      <c r="M33" s="101" t="str">
        <f>IFERROR(VLOOKUP(B33,Concentrado_PB!K$2:AP$1031,25,0)," ")</f>
        <v>MIDE LA CANTIDAD DE NIÑAS, NIÑOS Y ADOLESCENTES QUE RECIBEN ASESORIA EN LAS BIBLIOTECAS PUBLICAS.</v>
      </c>
      <c r="N33" s="101"/>
      <c r="O33" s="101"/>
      <c r="P33" s="101" t="str">
        <f>IFERROR(VLOOKUP(B33,Concentrado_PB!K$2:AP$1031,26,0)," ")</f>
        <v>(NUMERO DE NIÑAS, NIÑOS Y ADOLESCENTES QUE RECIBEN ASESORIA EN LAS BIBLIOTECAS PUBLICAS / NUMERO DE NIÑAS, NIÑOS Y ADOLESCENTES QUE ESTUDIAN EN ESCUELAS PRIMARIAS Y SECUNDARIAS PUBLICAS) * 100</v>
      </c>
      <c r="Q33" s="101"/>
      <c r="R33" s="101"/>
      <c r="S33" s="98"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99"/>
      <c r="U33" s="100"/>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97">
        <v>100</v>
      </c>
      <c r="AB33" s="92">
        <v>400000</v>
      </c>
      <c r="AC33" s="92">
        <v>400000</v>
      </c>
      <c r="AD33" s="93">
        <f t="shared" si="1"/>
        <v>1</v>
      </c>
      <c r="AE33" s="79"/>
    </row>
    <row r="34" spans="1:31" ht="129.94999999999999" customHeight="1">
      <c r="A34" s="64">
        <v>22</v>
      </c>
      <c r="B34" s="65" t="str">
        <f t="shared" si="0"/>
        <v>02CD14S133</v>
      </c>
      <c r="C34" s="75">
        <f>IFERROR(VLOOKUP(B34,Concentrado_PB!K$3:AP$1031,2,0)," ")</f>
        <v>2</v>
      </c>
      <c r="D34" s="75">
        <f>IFERROR(VLOOKUP(B34,Concentrado_PB!K$3:AP$1031,4,0)," ")</f>
        <v>2</v>
      </c>
      <c r="E34" s="75">
        <f>IFERROR(VLOOKUP(B34,Concentrado_PB!K$3:AP$1031,6,0)," ")</f>
        <v>1</v>
      </c>
      <c r="F34" s="76" t="str">
        <f>IFERROR(VLOOKUP(V$9&amp;A34,Concentrado_PB!A23:BX1052,27,0)," ")</f>
        <v>2.2.2</v>
      </c>
      <c r="G34" s="77" t="str">
        <f>IFERROR(VLOOKUP(V$9&amp;A34,Concentrado_PB!A23:BX1052,20,0)," ")</f>
        <v>11. Ciudades y comunidades sostenibles</v>
      </c>
      <c r="H34" s="75" t="str">
        <f>IFERROR(VLOOKUP(V$9&amp;A34,Concentrado_PB!A$3:I$1031,8,0),"")</f>
        <v>S133</v>
      </c>
      <c r="I34" s="101" t="str">
        <f>IFERROR(VLOOKUP(V$9&amp;A34,Concentrado_PB!A$3:I$1031,9,0)," ")</f>
        <v>S133_IMAGEN URBANA PARA CULTIVAR COMUNIDAD</v>
      </c>
      <c r="J34" s="101"/>
      <c r="K34" s="101"/>
      <c r="L34" s="75">
        <f>IFERROR(VLOOKUP(B34,Concentrado_PB!K23:AP1052,24,0)," ")</f>
        <v>0.17</v>
      </c>
      <c r="M34" s="101" t="str">
        <f>IFERROR(VLOOKUP(B34,Concentrado_PB!K$2:AP$1031,25,0)," ")</f>
        <v>MIDE EL NUMERO DE PERSONAS ATENDIDAS A TRAVES DE LOS SERVICIOS PUBLICOS DE MEJORAMIENTO URBANO.</v>
      </c>
      <c r="N34" s="101"/>
      <c r="O34" s="101"/>
      <c r="P34" s="101"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01"/>
      <c r="R34" s="101"/>
      <c r="S34" s="98"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99"/>
      <c r="U34" s="100"/>
      <c r="V34" s="75" t="str">
        <f>IFERROR(VLOOKUP(B34,Concentrado_PB!K$2:AP$1031,27,0)," ")</f>
        <v>PORCENTAJE</v>
      </c>
      <c r="W34" s="75">
        <f>IFERROR(VLOOKUP(B34,Concentrado_PB!K$2:AP$1031,29,0)," ")</f>
        <v>0</v>
      </c>
      <c r="X34" s="75">
        <f>IFERROR(VLOOKUP(B34,Concentrado_PB!K$2:AP$1031,30,0)," ")</f>
        <v>0.17</v>
      </c>
      <c r="Y34" s="75">
        <f>IFERROR(VLOOKUP(B34,Concentrado_PB!K$2:AP$1031,31,0)," ")</f>
        <v>0.17</v>
      </c>
      <c r="Z34" s="75">
        <f>IFERROR(VLOOKUP(B34,Concentrado_PB!K$2:AP$1031,32,0)," ")</f>
        <v>0.17</v>
      </c>
      <c r="AA34" s="97">
        <v>50</v>
      </c>
      <c r="AB34" s="92">
        <v>3726351.52</v>
      </c>
      <c r="AC34" s="92">
        <v>2250000</v>
      </c>
      <c r="AD34" s="93">
        <f t="shared" si="1"/>
        <v>0.60380776959013249</v>
      </c>
      <c r="AE34" s="79"/>
    </row>
    <row r="35" spans="1:31" ht="129.94999999999999"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101" t="str">
        <f>IFERROR(VLOOKUP(V$9&amp;A35,Concentrado_PB!A$3:I$1031,9,0)," ")</f>
        <v>S134_HUELLAS: SEMBRANDO COMPAÑÍA EN COMUNIDAD</v>
      </c>
      <c r="J35" s="101"/>
      <c r="K35" s="101"/>
      <c r="L35" s="75">
        <f>IFERROR(VLOOKUP(B35,Concentrado_PB!K24:AP1053,24,0)," ")</f>
        <v>0.156</v>
      </c>
      <c r="M35" s="101" t="str">
        <f>IFERROR(VLOOKUP(B35,Concentrado_PB!K$2:AP$1031,25,0)," ")</f>
        <v>MIDE EL NUMERO DE ANIMALES DE COMPAÑIA ATENDIDOS CON ALGUN SERVICIO VETERINARIO</v>
      </c>
      <c r="N35" s="101"/>
      <c r="O35" s="101"/>
      <c r="P35" s="101" t="str">
        <f>IFERROR(VLOOKUP(B35,Concentrado_PB!K$2:AP$1031,26,0)," ")</f>
        <v>(NUMERO DE ANIMALES DE COMPAÑIA ATENDIDOS / NUMERO DE ANIMALES DE COMPAÑIA DE LA DEMARCACION) * 100</v>
      </c>
      <c r="Q35" s="101"/>
      <c r="R35" s="101"/>
      <c r="S35" s="98"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99"/>
      <c r="U35" s="100"/>
      <c r="V35" s="75" t="str">
        <f>IFERROR(VLOOKUP(B35,Concentrado_PB!K$2:AP$1031,27,0)," ")</f>
        <v>PORCENTAJE</v>
      </c>
      <c r="W35" s="75">
        <f>IFERROR(VLOOKUP(B35,Concentrado_PB!K$2:AP$1031,29,0)," ")</f>
        <v>0.03</v>
      </c>
      <c r="X35" s="75">
        <f>IFERROR(VLOOKUP(B35,Concentrado_PB!K$2:AP$1031,30,0)," ")</f>
        <v>6.3E-2</v>
      </c>
      <c r="Y35" s="75">
        <f>IFERROR(VLOOKUP(B35,Concentrado_PB!K$2:AP$1031,31,0)," ")</f>
        <v>0.109</v>
      </c>
      <c r="Z35" s="75">
        <f>IFERROR(VLOOKUP(B35,Concentrado_PB!K$2:AP$1031,32,0)," ")</f>
        <v>0.156</v>
      </c>
      <c r="AA35" s="97">
        <v>100</v>
      </c>
      <c r="AB35" s="92">
        <v>777270</v>
      </c>
      <c r="AC35" s="92">
        <v>777270</v>
      </c>
      <c r="AD35" s="93">
        <f t="shared" si="1"/>
        <v>1</v>
      </c>
      <c r="AE35" s="79"/>
    </row>
    <row r="36" spans="1:31" ht="129.94999999999999"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101" t="str">
        <f>IFERROR(VLOOKUP(V$9&amp;A36,Concentrado_PB!A$3:I$1031,9,0)," ")</f>
        <v>S135_UNIDAD-ES TLALPAN</v>
      </c>
      <c r="J36" s="101"/>
      <c r="K36" s="101"/>
      <c r="L36" s="75">
        <f>IFERROR(VLOOKUP(B36,Concentrado_PB!K25:AP1054,24,0)," ")</f>
        <v>0.58899999999999997</v>
      </c>
      <c r="M36" s="101" t="str">
        <f>IFERROR(VLOOKUP(B36,Concentrado_PB!K$2:AP$1031,25,0)," ")</f>
        <v xml:space="preserve">MIDE LA CANTIDAD DE PERSONAS BENEFICIADAS QUE VIVEN EN UNIDADES Y CONJUNTOS HABITACIONALES DE INTERES SOCIAL. </v>
      </c>
      <c r="N36" s="101"/>
      <c r="O36" s="101"/>
      <c r="P36" s="101" t="str">
        <f>IFERROR(VLOOKUP(B36,Concentrado_PB!K$2:AP$1031,26,0)," ")</f>
        <v>(NUMERO DE PERSONAS BENEFICIADAS QUE HABITAN EN CONJUNTOS Y UNIDADES HABITACIONALES DE INTERES SOCIAL / NUMERO DE PERSONAS QUE HABITAN EN CONJUNTOS Y UNIDADES HABITACIONALES DE INTERES SOCIAL) * 100</v>
      </c>
      <c r="Q36" s="101"/>
      <c r="R36" s="101"/>
      <c r="S36" s="98" t="str">
        <f>IFERROR(VLOOKUP(B36,Concentrado_PB!K$2:AP$1031,28,0)," ")</f>
        <v>EXPEDIENTES DE PROYECTOS , LOS CUALES ESTARAN DISPONIBLES PARA SU CONSULTA EN LA DIRECCION GENERAL DE PARTICIPACION CIUDADANA, UBICADA EN PLAZA DE LA CONSTITUCION S/N, COL. TLALPAN CENTRO, C.P. 14000, ALCALDIA DE TLALPAN.</v>
      </c>
      <c r="T36" s="99"/>
      <c r="U36" s="100"/>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97">
        <f>0.589+74.34</f>
        <v>74.929000000000002</v>
      </c>
      <c r="AB36" s="92">
        <v>11436000</v>
      </c>
      <c r="AC36" s="92">
        <v>11436000</v>
      </c>
      <c r="AD36" s="93">
        <f t="shared" si="1"/>
        <v>1</v>
      </c>
      <c r="AE36" s="79"/>
    </row>
    <row r="37" spans="1:31" ht="129.94999999999999"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101" t="str">
        <f>IFERROR(VLOOKUP(V$9&amp;A37,Concentrado_PB!A$3:I$1031,9,0)," ")</f>
        <v>S136_JÓVENES CULTIVANDO LA MOVILIDAD</v>
      </c>
      <c r="J37" s="101"/>
      <c r="K37" s="101"/>
      <c r="L37" s="75">
        <f>IFERROR(VLOOKUP(B37,Concentrado_PB!K26:AP1055,24,0)," ")</f>
        <v>0.4</v>
      </c>
      <c r="M37" s="101" t="str">
        <f>IFERROR(VLOOKUP(B37,Concentrado_PB!K$2:AP$1031,25,0)," ")</f>
        <v>MIDE EL NUMERO DE INTERSECCIONES QUE PRESENTAN MAYOR CONGESTION VEHICULAR INTERVENIDAS</v>
      </c>
      <c r="N37" s="101"/>
      <c r="O37" s="101"/>
      <c r="P37" s="101" t="str">
        <f>IFERROR(VLOOKUP(B37,Concentrado_PB!K$2:AP$1031,26,0)," ")</f>
        <v>(NUMERO DE INTERSECCIONES QUE PRESENTAN MAYOR CONGESTION VEHICULAR INTERVENIDAS / NUMERO DE INTERSECCIONES QUE PRESENTAN MAYOR CONGESTION VEHICULAR) * 100</v>
      </c>
      <c r="Q37" s="101"/>
      <c r="R37" s="101"/>
      <c r="S37" s="98" t="str">
        <f>IFERROR(VLOOKUP(B37,Concentrado_PB!K$2:AP$1031,28,0)," ")</f>
        <v>LISTAS DE ASISTENCIAS, EVIDENCIA FOTOGRAFICA, LAS CUALES PODRAN SER CONSULTADAS EN LA DIRECCION DE SEGURIDAD CIUDADANA UBICADA EN PLAZA DE LA CONSTITUCION S/N, COL. TLALPAN CENTROL, ALCALDIA DE TLALPAN.</v>
      </c>
      <c r="T37" s="99"/>
      <c r="U37" s="100"/>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97">
        <v>50</v>
      </c>
      <c r="AB37" s="92">
        <v>5522640</v>
      </c>
      <c r="AC37" s="92">
        <v>5522640</v>
      </c>
      <c r="AD37" s="93">
        <f t="shared" si="1"/>
        <v>1</v>
      </c>
      <c r="AE37" s="79"/>
    </row>
    <row r="38" spans="1:31" ht="129.94999999999999"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101" t="str">
        <f>IFERROR(VLOOKUP(V$9&amp;A38,Concentrado_PB!A$3:I$1031,9,0)," ")</f>
        <v>S137_CULTIVANDO COMUNIDAD CON LA PARTICIPACIÓN CIUDADANA</v>
      </c>
      <c r="J38" s="101"/>
      <c r="K38" s="101"/>
      <c r="L38" s="75">
        <f>IFERROR(VLOOKUP(B38,Concentrado_PB!K27:AP1056,24,0)," ")</f>
        <v>0.29499999999999998</v>
      </c>
      <c r="M38" s="101" t="str">
        <f>IFERROR(VLOOKUP(B38,Concentrado_PB!K$2:AP$1031,25,0)," ")</f>
        <v>MIDE LA POBLACION ATENDIDA A TRAVES DE LAS ASESORIAS Y CANALIZACIONES</v>
      </c>
      <c r="N38" s="101"/>
      <c r="O38" s="101"/>
      <c r="P38" s="101" t="str">
        <f>IFERROR(VLOOKUP(B38,Concentrado_PB!K$2:AP$1031,26,0)," ")</f>
        <v>(NUMERO DE PERSONAS ATENDIDAS/NUMERO DE PERSONAS QUE RESIDEN EN LA DEMARCACION) * 100</v>
      </c>
      <c r="Q38" s="101"/>
      <c r="R38" s="101"/>
      <c r="S38" s="98"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99"/>
      <c r="U38" s="100"/>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97">
        <v>0.111</v>
      </c>
      <c r="AB38" s="92">
        <v>16747000</v>
      </c>
      <c r="AC38" s="92">
        <v>16747000</v>
      </c>
      <c r="AD38" s="93">
        <f t="shared" si="1"/>
        <v>1</v>
      </c>
      <c r="AE38" s="79"/>
    </row>
    <row r="39" spans="1:31" ht="129.94999999999999"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101" t="str">
        <f>IFERROR(VLOOKUP(V$9&amp;A39,Concentrado_PB!A$3:I$1031,9,0)," ")</f>
        <v>S138_CULTIVANDO ACTIVIDADES DEPORTIVAS</v>
      </c>
      <c r="J39" s="101"/>
      <c r="K39" s="101"/>
      <c r="L39" s="75">
        <f>IFERROR(VLOOKUP(B39,Concentrado_PB!K28:AP1057,24,0)," ")</f>
        <v>6.6000000000000003E-2</v>
      </c>
      <c r="M39" s="101" t="str">
        <f>IFERROR(VLOOKUP(B39,Concentrado_PB!K$2:AP$1031,25,0)," ")</f>
        <v>MIDE LA POBLACION QUE PARTICIPO EN ALGUNA ACTIVIDAD DEPORTIVA</v>
      </c>
      <c r="N39" s="101"/>
      <c r="O39" s="101"/>
      <c r="P39" s="101" t="str">
        <f>IFERROR(VLOOKUP(B39,Concentrado_PB!K$2:AP$1031,26,0)," ")</f>
        <v>(NUMERO DE PERSONAS QUE PARTICIPARON EN ALGUNA ACTIVIDAD DEPORTIVA / NUMERO DE PERSONAS QUE HABITAN EN LA DEMARCACION) * 100</v>
      </c>
      <c r="Q39" s="101"/>
      <c r="R39" s="101"/>
      <c r="S39" s="98" t="str">
        <f>IFERROR(VLOOKUP(B39,Concentrado_PB!K$2:AP$1031,28,0)," ")</f>
        <v>LISTAS DE ASISTENCIA, LAS CUALES PUEDEN SER CONSULTADAS EN LA COORDINACION DE DESARROLLO DE ACTIVIDADES DEPORTIVAS, UBICADA EN AV. INSURGENTES SUR S/N, INTERIOR DEL DEPORTIVO VILLA OLIMPICA, C.P. 14010, ALCALDIA DE TLALPAN</v>
      </c>
      <c r="T39" s="99"/>
      <c r="U39" s="100"/>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97">
        <v>100</v>
      </c>
      <c r="AB39" s="92">
        <v>1363636.3</v>
      </c>
      <c r="AC39" s="92">
        <v>1363636.3</v>
      </c>
      <c r="AD39" s="93">
        <f t="shared" si="1"/>
        <v>1</v>
      </c>
      <c r="AE39" s="79"/>
    </row>
    <row r="40" spans="1:31" ht="129.94999999999999"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101" t="str">
        <f>IFERROR(VLOOKUP(V$9&amp;A40,Concentrado_PB!A$3:I$1031,9,0)," ")</f>
        <v>S139_APOYO AL DESARROLLO AGROPECUARIO  SUSTENTABLE</v>
      </c>
      <c r="J40" s="101"/>
      <c r="K40" s="101"/>
      <c r="L40" s="75">
        <f>IFERROR(VLOOKUP(B40,Concentrado_PB!K29:AP1058,24,0)," ")</f>
        <v>0.13</v>
      </c>
      <c r="M40" s="101" t="str">
        <f>IFERROR(VLOOKUP(B40,Concentrado_PB!K$2:AP$1031,25,0)," ")</f>
        <v xml:space="preserve">MIDE LAS PERSONAS BENEFICIADAS </v>
      </c>
      <c r="N40" s="101"/>
      <c r="O40" s="101"/>
      <c r="P40" s="101" t="str">
        <f>IFERROR(VLOOKUP(B40,Concentrado_PB!K$2:AP$1031,26,0)," ")</f>
        <v>(NUMERO DE PERSONAS BENEFICIADAS/NUMERO DE PERSONAS DEDICADAS AL CUIDADO DEL MEDIO AMBIENTE, A LA PRODUCCION AGRICOLA Y AQUELLAS QUE SE ENCUENTRAN EN CONDICION DE DESEMPLEO)*100</v>
      </c>
      <c r="Q40" s="101"/>
      <c r="R40" s="101"/>
      <c r="S40" s="98"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99"/>
      <c r="U40" s="100"/>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97">
        <v>0</v>
      </c>
      <c r="AB40" s="92">
        <v>32332000</v>
      </c>
      <c r="AC40" s="92">
        <v>32332000</v>
      </c>
      <c r="AD40" s="93">
        <f t="shared" si="1"/>
        <v>1</v>
      </c>
      <c r="AE40" s="79"/>
    </row>
    <row r="41" spans="1:31" ht="129.94999999999999"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101" t="str">
        <f>IFERROR(VLOOKUP(V$9&amp;A41,Concentrado_PB!A$3:I$1031,9,0)," ")</f>
        <v>S140_PREVENCIÓN DEL DELITO, TLALPAN</v>
      </c>
      <c r="J41" s="101"/>
      <c r="K41" s="101"/>
      <c r="L41" s="75">
        <f>IFERROR(VLOOKUP(B41,Concentrado_PB!K30:AP1059,24,0)," ")</f>
        <v>1.7999999999999999E-2</v>
      </c>
      <c r="M41" s="101" t="str">
        <f>IFERROR(VLOOKUP(B41,Concentrado_PB!K$2:AP$1031,25,0)," ")</f>
        <v>MIDE EL NUMERO DE PERSONAS QUE RECIBEN INFORMACION PARA CONCIENTIZAR Y SENSIBILIZAR SOBRE SITUACIONES DE VIOLENCIA.</v>
      </c>
      <c r="N41" s="101"/>
      <c r="O41" s="101"/>
      <c r="P41" s="101" t="str">
        <f>IFERROR(VLOOKUP(B41,Concentrado_PB!K$2:AP$1031,26,0)," ")</f>
        <v>(NUMERO DE PERSONAS ATENDIDAS QUE RECIBIERON INFORMACION PARA CONCIENTIZAR Y SENSIBILIZAR SOBRE SITUACIONES DE VIOLENCIA / NUMERO DE PERSONAS QUE HABITAN EN LA DEMARCACION) * 100</v>
      </c>
      <c r="Q41" s="101"/>
      <c r="R41" s="101"/>
      <c r="S41" s="98" t="str">
        <f>IFERROR(VLOOKUP(B41,Concentrado_PB!K$2:AP$1031,28,0)," ")</f>
        <v>LISTA DE ASISTENCIA Y MEMORIA FOTOGRAFICA, LAS CUALES ESTARAN DISPONIBLES PARA CONSULTA EN LA DIRECCION DE SEGURIDAD CIUDADANA, UBICADA EN PLAZA DE LA CONSTITUCION S/N, COL. TLALPAN CENTROL, C.P. 14000, ALCALDIA DE TLALPAN</v>
      </c>
      <c r="T41" s="99"/>
      <c r="U41" s="100"/>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97">
        <v>50</v>
      </c>
      <c r="AB41" s="92">
        <v>4545450</v>
      </c>
      <c r="AC41" s="92">
        <v>4545450</v>
      </c>
      <c r="AD41" s="93">
        <f t="shared" si="1"/>
        <v>1</v>
      </c>
      <c r="AE41" s="79"/>
    </row>
    <row r="42" spans="1:31" ht="129.94999999999999"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101" t="str">
        <f>IFERROR(VLOOKUP(V$9&amp;A42,Concentrado_PB!A$3:I$1031,9,0)," ")</f>
        <v>S200_CULTIVANDO RAÍCES DE IDENTIDAD</v>
      </c>
      <c r="J42" s="101"/>
      <c r="K42" s="101"/>
      <c r="L42" s="75">
        <f>IFERROR(VLOOKUP(B42,Concentrado_PB!K31:AP1060,24,0)," ")</f>
        <v>2.0999999999999999E-3</v>
      </c>
      <c r="M42" s="101" t="str">
        <f>IFERROR(VLOOKUP(B42,Concentrado_PB!K$2:AP$1031,25,0)," ")</f>
        <v xml:space="preserve">MIDE EL NUMERO DE JOVENES 15 A 29 AÑOS QUE PARTICIPAN EN LOS COLECTIVOS QUE DESARROLLAN ACTIVIDADES Y PROYECTOS PARA LA COMUNIDAD. </v>
      </c>
      <c r="N42" s="101"/>
      <c r="O42" s="101"/>
      <c r="P42" s="101" t="str">
        <f>IFERROR(VLOOKUP(B42,Concentrado_PB!K$2:AP$1031,26,0)," ")</f>
        <v>(NUMERO DE JOVENES ENTRE 15 Y 29 AÑOS QUE PARTICIPAN EN COLECTIVOS QUE DESARROLLAN ACTIVIDADES Y PROYECTOS PARA LA COMUNIDAD/NUMERO DE JOVENES ENTRE 15 Y 29 AÑOS QUE HABITA EN LA DEMARCACION)*100</v>
      </c>
      <c r="Q42" s="101"/>
      <c r="R42" s="101"/>
      <c r="S42" s="98"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99"/>
      <c r="U42" s="100"/>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8">
        <v>0</v>
      </c>
      <c r="AB42" s="92">
        <v>399304.98</v>
      </c>
      <c r="AC42" s="92">
        <v>399304.98</v>
      </c>
      <c r="AD42" s="93">
        <f t="shared" si="1"/>
        <v>1</v>
      </c>
      <c r="AE42" s="79"/>
    </row>
    <row r="43" spans="1:31" ht="129.94999999999999"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101" t="str">
        <f>IFERROR(VLOOKUP(V$9&amp;A43,Concentrado_PB!A$3:I$1031,9,0)," ")</f>
        <v>S205_PREVENCIÓN DEL EMBARAZO ADOLESCENTE, TLALPAN</v>
      </c>
      <c r="J43" s="101"/>
      <c r="K43" s="101"/>
      <c r="L43" s="75">
        <f>IFERROR(VLOOKUP(B43,Concentrado_PB!K32:AP1061,24,0)," ")</f>
        <v>0.25340000000000001</v>
      </c>
      <c r="M43" s="101" t="str">
        <f>IFERROR(VLOOKUP(B43,Concentrado_PB!K$2:AP$1031,25,0)," ")</f>
        <v>MIDE EL NUMERO DE NIÑAS Y NIÑOS QUE RECIBEN SERVICIOS DE SALUD.</v>
      </c>
      <c r="N43" s="101"/>
      <c r="O43" s="101"/>
      <c r="P43" s="101" t="str">
        <f>IFERROR(VLOOKUP(B43,Concentrado_PB!K$2:AP$1031,26,0)," ")</f>
        <v>(NUMERO DE NIÑAS Y NIÑOS DE 0 A 4 AÑOS QUE RECIBEN SERVICIOS DE SALUD/NUMERO DE NIÑAS Y NIÑOS DE 0 A 4 AÑOS QUE RESIDEN EN ZONAS CON MUY BAJO INDICE DE DESARROLLO SOCIAL)*100</v>
      </c>
      <c r="Q43" s="101"/>
      <c r="R43" s="101"/>
      <c r="S43" s="98" t="str">
        <f>IFERROR(VLOOKUP(B43,Concentrado_PB!K$2:AP$1031,28,0)," ")</f>
        <v xml:space="preserve">LISTAS DE ASISTENCIA LAS CUALES ESTARAN DISPONIBLES PARA CONSULTA EN LA DIRECCION DE SALUD, UBICADA EN CALLE COSCOMATE 90, COL. TORIELLO GUERRA, C.P. 14050, ALCALDIA DE TLALPAN. </v>
      </c>
      <c r="T43" s="99"/>
      <c r="U43" s="100"/>
      <c r="V43" s="75" t="str">
        <f>IFERROR(VLOOKUP(B43,Concentrado_PB!K$2:AP$1031,27,0)," ")</f>
        <v>PORCENTAJE</v>
      </c>
      <c r="W43" s="75">
        <f>IFERROR(VLOOKUP(B43,Concentrado_PB!K$2:AP$1031,29,0)," ")</f>
        <v>0</v>
      </c>
      <c r="X43" s="75">
        <f>IFERROR(VLOOKUP(B43,Concentrado_PB!K$2:AP$1031,30,0)," ")</f>
        <v>0.08</v>
      </c>
      <c r="Y43" s="75">
        <f>IFERROR(VLOOKUP(B43,Concentrado_PB!K$2:AP$1031,31,0)," ")</f>
        <v>0.18</v>
      </c>
      <c r="Z43" s="75">
        <f>IFERROR(VLOOKUP(B43,Concentrado_PB!K$2:AP$1031,32,0)," ")</f>
        <v>0.25340000000000001</v>
      </c>
      <c r="AA43" s="78">
        <v>100</v>
      </c>
      <c r="AB43" s="92">
        <v>0</v>
      </c>
      <c r="AC43" s="92">
        <v>0</v>
      </c>
      <c r="AD43" s="93" t="str">
        <f t="shared" si="1"/>
        <v xml:space="preserve"> </v>
      </c>
      <c r="AE43" s="79"/>
    </row>
    <row r="44" spans="1:31" ht="129.94999999999999"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101" t="str">
        <f>IFERROR(VLOOKUP(V$9&amp;A44,Concentrado_PB!A$3:I$1031,9,0)," ")</f>
        <v>S206_FORMACIÓN MUSICAL, TLALPAN</v>
      </c>
      <c r="J44" s="101"/>
      <c r="K44" s="101"/>
      <c r="L44" s="75">
        <f>IFERROR(VLOOKUP(B44,Concentrado_PB!K33:AP1062,24,0)," ")</f>
        <v>1.1000000000000001E-3</v>
      </c>
      <c r="M44" s="101" t="str">
        <f>IFERROR(VLOOKUP(B44,Concentrado_PB!K$2:AP$1031,25,0)," ")</f>
        <v xml:space="preserve">MIDE LA CANTIDAD DE NIÑAS, NIÑOS, ADOLESCENTES Y JOVENES QUE RECIBEN INSTRUCCION MUSICAL. </v>
      </c>
      <c r="N44" s="101"/>
      <c r="O44" s="101"/>
      <c r="P44" s="101" t="str">
        <f>IFERROR(VLOOKUP(B44,Concentrado_PB!K$2:AP$1031,26,0)," ")</f>
        <v>(NUMERO DE NIÑAS, NIÑOS, ADOLESCENTES Y JOVENES QUE RECIBEN INSTRUCCION MUSICAL/NUMERO DE NIÑAS, NIÑOS, ADOLESCENTES Y JOVENES QUE RESIDEN EN LA DEMARCACION)*100</v>
      </c>
      <c r="Q44" s="101"/>
      <c r="R44" s="101"/>
      <c r="S44" s="98"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99"/>
      <c r="U44" s="100"/>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v>0</v>
      </c>
      <c r="AB44" s="92">
        <v>1803650</v>
      </c>
      <c r="AC44" s="92">
        <v>1803650</v>
      </c>
      <c r="AD44" s="93">
        <f t="shared" si="1"/>
        <v>1</v>
      </c>
      <c r="AE44" s="79"/>
    </row>
    <row r="45" spans="1:31" ht="129.94999999999999"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101" t="str">
        <f>IFERROR(VLOOKUP(V$9&amp;A45,Concentrado_PB!A$3:I$1031,9,0)," ")</f>
        <v>S207_CULTIVANDO ARTE EN TLALPAN</v>
      </c>
      <c r="J45" s="101"/>
      <c r="K45" s="101"/>
      <c r="L45" s="75">
        <f>IFERROR(VLOOKUP(B45,Concentrado_PB!K34:AP1063,24,0)," ")</f>
        <v>0.01</v>
      </c>
      <c r="M45" s="101" t="str">
        <f>IFERROR(VLOOKUP(B45,Concentrado_PB!K$2:AP$1031,25,0)," ")</f>
        <v>MIDE EL NUMERO DE NIÑAS, ADOLESCENTES Y MUJERES ATENDIDAS</v>
      </c>
      <c r="N45" s="101"/>
      <c r="O45" s="101"/>
      <c r="P45" s="101" t="str">
        <f>IFERROR(VLOOKUP(B45,Concentrado_PB!K$2:AP$1031,26,0)," ")</f>
        <v>(NUMERO DE NIÑAS, ADOLESCENTES Y MUJERES ATENDIDAS / NUMERO DE NIÑAS, ADOLESCENTES Y MUJERES QUE RESIDEN EN LA DEMARCACION)*100</v>
      </c>
      <c r="Q45" s="101"/>
      <c r="R45" s="101"/>
      <c r="S45" s="98"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99"/>
      <c r="U45" s="100"/>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v>100</v>
      </c>
      <c r="AB45" s="92">
        <v>0</v>
      </c>
      <c r="AC45" s="92">
        <v>0</v>
      </c>
      <c r="AD45" s="93" t="str">
        <f t="shared" si="1"/>
        <v xml:space="preserve"> </v>
      </c>
      <c r="AE45" s="79"/>
    </row>
    <row r="46" spans="1:31" ht="129.94999999999999"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101" t="str">
        <f>IFERROR(VLOOKUP(V$9&amp;A46,Concentrado_PB!A$3:I$1031,9,0)," ")</f>
        <v>S208_CULTIVANDO PAZ, ARTE Y CULTURA EN TLALPAN</v>
      </c>
      <c r="J46" s="101"/>
      <c r="K46" s="101"/>
      <c r="L46" s="75">
        <f>IFERROR(VLOOKUP(B46,Concentrado_PB!K35:AP1064,24,0)," ")</f>
        <v>4.3999999999999997E-2</v>
      </c>
      <c r="M46" s="101" t="str">
        <f>IFERROR(VLOOKUP(B46,Concentrado_PB!K$2:AP$1031,25,0)," ")</f>
        <v>MIDE LA CANTIDAD DE PERSONAS QUE PARTICIPAN EN ALGUNA ACTIVIDAD CULTURAL.</v>
      </c>
      <c r="N46" s="101"/>
      <c r="O46" s="101"/>
      <c r="P46" s="101" t="str">
        <f>IFERROR(VLOOKUP(B46,Concentrado_PB!K$2:AP$1031,26,0)," ")</f>
        <v>(NUMERO DE PERSONAS QUE PARTICIPAN EN ALGUNA ACTIVIDAD CULTURAL/ NUMERO DE PERSONAS QUE HABITAN EN ZONAS DE MUY BAJO Y BAJO INDICE DE DESARROLLO SOCIAL)*100</v>
      </c>
      <c r="Q46" s="101"/>
      <c r="R46" s="101"/>
      <c r="S46" s="98"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99"/>
      <c r="U46" s="100"/>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v>0</v>
      </c>
      <c r="AB46" s="92">
        <v>5440000</v>
      </c>
      <c r="AC46" s="92">
        <v>5440000</v>
      </c>
      <c r="AD46" s="93">
        <f t="shared" si="1"/>
        <v>1</v>
      </c>
      <c r="AE46" s="79"/>
    </row>
    <row r="47" spans="1:31" ht="129.94999999999999"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101" t="str">
        <f>IFERROR(VLOOKUP(V$9&amp;A47,Concentrado_PB!A$3:I$1031,9,0)," ")</f>
        <v>U024_SEAMOS MEJORES ESTUDIANTES</v>
      </c>
      <c r="J47" s="101"/>
      <c r="K47" s="101"/>
      <c r="L47" s="75">
        <f>IFERROR(VLOOKUP(B47,Concentrado_PB!K36:AP1065,24,0)," ")</f>
        <v>1</v>
      </c>
      <c r="M47" s="101" t="str">
        <f>IFERROR(VLOOKUP(B47,Concentrado_PB!K$2:AP$1031,25,0)," ")</f>
        <v xml:space="preserve">MIDE EL NUMERO  DE HABITANTES QUE RECIBEN APOYOS ECONOMICOS EN ESPECIE . </v>
      </c>
      <c r="N47" s="101"/>
      <c r="O47" s="101"/>
      <c r="P47" s="101" t="str">
        <f>IFERROR(VLOOKUP(B47,Concentrado_PB!K$2:AP$1031,26,0)," ")</f>
        <v>(NUMERO DE HABITANTES QUE RECIBEN EL APOYO / NUMERO DE HABITANTES DE LA DEMARCACION)* 100</v>
      </c>
      <c r="Q47" s="101"/>
      <c r="R47" s="101"/>
      <c r="S47" s="98"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99"/>
      <c r="U47" s="100"/>
      <c r="V47" s="75" t="str">
        <f>IFERROR(VLOOKUP(B47,Concentrado_PB!K$2:AP$1031,27,0)," ")</f>
        <v>PORCENTAJE</v>
      </c>
      <c r="W47" s="75">
        <f>IFERROR(VLOOKUP(B47,Concentrado_PB!K$2:AP$1031,29,0)," ")</f>
        <v>0</v>
      </c>
      <c r="X47" s="75">
        <f>IFERROR(VLOOKUP(B47,Concentrado_PB!K$2:AP$1031,30,0)," ")</f>
        <v>0</v>
      </c>
      <c r="Y47" s="75">
        <f>IFERROR(VLOOKUP(B47,Concentrado_PB!K$2:AP$1031,31,0)," ")</f>
        <v>0</v>
      </c>
      <c r="Z47" s="75">
        <f>IFERROR(VLOOKUP(B47,Concentrado_PB!K$2:AP$1031,32,0)," ")</f>
        <v>1</v>
      </c>
      <c r="AA47" s="78">
        <v>100</v>
      </c>
      <c r="AB47" s="92">
        <v>433376</v>
      </c>
      <c r="AC47" s="92">
        <v>0</v>
      </c>
      <c r="AD47" s="93">
        <f t="shared" si="1"/>
        <v>0</v>
      </c>
      <c r="AE47" s="79"/>
    </row>
    <row r="48" spans="1:31">
      <c r="C48" s="80"/>
      <c r="D48" s="80"/>
      <c r="E48" s="80"/>
      <c r="F48" s="81"/>
      <c r="G48" s="81"/>
      <c r="H48" s="74"/>
      <c r="I48" s="74"/>
      <c r="J48" s="74"/>
      <c r="K48" s="74"/>
      <c r="L48" s="74"/>
      <c r="M48" s="74"/>
      <c r="N48" s="74"/>
      <c r="O48" s="74"/>
      <c r="P48" s="74"/>
      <c r="Q48" s="74"/>
      <c r="R48" s="74"/>
      <c r="S48" s="74"/>
      <c r="T48" s="74"/>
      <c r="U48" s="74"/>
      <c r="V48" s="74"/>
      <c r="W48" s="74"/>
      <c r="X48" s="74"/>
      <c r="Y48" s="74"/>
      <c r="Z48" s="74"/>
      <c r="AA48" s="74"/>
      <c r="AB48" s="74"/>
      <c r="AC48" s="74"/>
      <c r="AD48" s="74"/>
      <c r="AE48" s="74"/>
    </row>
    <row r="49" spans="2:31">
      <c r="C49" s="80"/>
      <c r="D49" s="80"/>
      <c r="E49" s="80"/>
      <c r="F49" s="81"/>
      <c r="G49" s="81"/>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80"/>
      <c r="D50" s="80"/>
      <c r="E50" s="80"/>
      <c r="F50" s="81"/>
      <c r="G50" s="81"/>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15">
      <c r="B51" s="66"/>
      <c r="C51" s="82"/>
      <c r="D51" s="82"/>
      <c r="E51" s="82"/>
      <c r="F51" s="81"/>
      <c r="G51" s="81"/>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82"/>
      <c r="D52" s="82"/>
      <c r="E52" s="82"/>
      <c r="F52" s="83"/>
      <c r="G52" s="83"/>
      <c r="H52" s="74"/>
      <c r="I52" s="74"/>
      <c r="J52" s="119" t="s">
        <v>16472</v>
      </c>
      <c r="K52" s="119"/>
      <c r="L52" s="119"/>
      <c r="M52" s="119"/>
      <c r="N52" s="119"/>
      <c r="O52" s="119"/>
      <c r="P52" s="84"/>
      <c r="Q52" s="84"/>
      <c r="R52" s="74"/>
      <c r="S52" s="119" t="s">
        <v>16473</v>
      </c>
      <c r="T52" s="119"/>
      <c r="U52" s="119"/>
      <c r="V52" s="119"/>
      <c r="W52" s="119"/>
      <c r="X52" s="119"/>
      <c r="Y52" s="74"/>
      <c r="Z52" s="74"/>
      <c r="AA52" s="74"/>
      <c r="AB52" s="74"/>
      <c r="AC52" s="74"/>
      <c r="AD52" s="74"/>
      <c r="AE52" s="74"/>
    </row>
    <row r="53" spans="2:31" ht="15">
      <c r="B53" s="66"/>
      <c r="C53" s="82"/>
      <c r="D53" s="82"/>
      <c r="E53" s="82"/>
      <c r="F53" s="82"/>
      <c r="G53" s="82"/>
      <c r="H53" s="74"/>
      <c r="I53" s="74"/>
      <c r="J53" s="82"/>
      <c r="K53" s="82"/>
      <c r="L53" s="82"/>
      <c r="M53" s="84"/>
      <c r="N53" s="84"/>
      <c r="O53" s="84"/>
      <c r="P53" s="84"/>
      <c r="Q53" s="84"/>
      <c r="R53" s="74"/>
      <c r="S53" s="82"/>
      <c r="T53" s="82"/>
      <c r="U53" s="82"/>
      <c r="V53" s="82"/>
      <c r="W53" s="82"/>
      <c r="X53" s="84"/>
      <c r="Y53" s="74"/>
      <c r="Z53" s="74"/>
      <c r="AA53" s="74"/>
      <c r="AB53" s="74"/>
      <c r="AC53" s="74"/>
      <c r="AD53" s="74"/>
      <c r="AE53" s="74"/>
    </row>
    <row r="54" spans="2:31" ht="15">
      <c r="B54" s="66"/>
      <c r="C54" s="82"/>
      <c r="D54" s="82"/>
      <c r="E54" s="82"/>
      <c r="F54" s="85"/>
      <c r="G54" s="85"/>
      <c r="H54" s="74"/>
      <c r="I54" s="74"/>
      <c r="J54" s="86"/>
      <c r="K54" s="86"/>
      <c r="L54" s="86"/>
      <c r="M54" s="87"/>
      <c r="N54" s="87"/>
      <c r="O54" s="87"/>
      <c r="P54" s="84"/>
      <c r="Q54" s="84"/>
      <c r="R54" s="74"/>
      <c r="S54" s="88"/>
      <c r="T54" s="88"/>
      <c r="U54" s="88"/>
      <c r="V54" s="88"/>
      <c r="W54" s="88"/>
      <c r="X54" s="88"/>
      <c r="Y54" s="74"/>
      <c r="Z54" s="74"/>
      <c r="AA54" s="74"/>
      <c r="AB54" s="74"/>
      <c r="AC54" s="74"/>
      <c r="AD54" s="74"/>
      <c r="AE54" s="74"/>
    </row>
    <row r="55" spans="2:31" ht="15">
      <c r="B55" s="66"/>
      <c r="C55" s="82"/>
      <c r="D55" s="82"/>
      <c r="E55" s="82"/>
      <c r="F55" s="83"/>
      <c r="G55" s="83"/>
      <c r="H55" s="74"/>
      <c r="I55" s="74"/>
      <c r="J55" s="118" t="s">
        <v>16557</v>
      </c>
      <c r="K55" s="118"/>
      <c r="L55" s="118"/>
      <c r="M55" s="118"/>
      <c r="N55" s="118"/>
      <c r="O55" s="118"/>
      <c r="P55" s="84"/>
      <c r="Q55" s="84"/>
      <c r="R55" s="74"/>
      <c r="S55" s="118" t="s">
        <v>16555</v>
      </c>
      <c r="T55" s="118"/>
      <c r="U55" s="118"/>
      <c r="V55" s="118"/>
      <c r="W55" s="118"/>
      <c r="X55" s="118"/>
      <c r="Y55" s="74"/>
      <c r="Z55" s="74"/>
      <c r="AA55" s="74"/>
      <c r="AB55" s="74"/>
      <c r="AC55" s="74"/>
      <c r="AD55" s="74"/>
      <c r="AE55" s="74"/>
    </row>
    <row r="56" spans="2:31" ht="15">
      <c r="B56" s="66"/>
      <c r="C56" s="82"/>
      <c r="D56" s="82"/>
      <c r="E56" s="82"/>
      <c r="F56" s="89"/>
      <c r="G56" s="89"/>
      <c r="H56" s="74"/>
      <c r="I56" s="74"/>
      <c r="J56" s="90"/>
      <c r="K56" s="90"/>
      <c r="L56" s="90"/>
      <c r="M56" s="90"/>
      <c r="N56" s="84"/>
      <c r="O56" s="84"/>
      <c r="P56" s="84"/>
      <c r="Q56" s="84"/>
      <c r="R56" s="74"/>
      <c r="S56" s="90"/>
      <c r="T56" s="90"/>
      <c r="U56" s="90"/>
      <c r="V56" s="90"/>
      <c r="W56" s="84"/>
      <c r="X56" s="84"/>
      <c r="Y56" s="74"/>
      <c r="Z56" s="74"/>
      <c r="AA56" s="74"/>
      <c r="AB56" s="74"/>
      <c r="AC56" s="74"/>
      <c r="AD56" s="74"/>
      <c r="AE56" s="74"/>
    </row>
    <row r="57" spans="2:31" ht="15">
      <c r="B57" s="66"/>
      <c r="C57" s="82"/>
      <c r="D57" s="82"/>
      <c r="E57" s="82"/>
      <c r="F57" s="89"/>
      <c r="G57" s="89"/>
      <c r="H57" s="74"/>
      <c r="I57" s="74"/>
      <c r="J57" s="117" t="s">
        <v>16558</v>
      </c>
      <c r="K57" s="117"/>
      <c r="L57" s="117"/>
      <c r="M57" s="117"/>
      <c r="N57" s="117"/>
      <c r="O57" s="117"/>
      <c r="P57" s="84"/>
      <c r="Q57" s="84"/>
      <c r="R57" s="74"/>
      <c r="S57" s="117" t="s">
        <v>16556</v>
      </c>
      <c r="T57" s="117"/>
      <c r="U57" s="117"/>
      <c r="V57" s="117"/>
      <c r="W57" s="117"/>
      <c r="X57" s="117"/>
      <c r="Y57" s="74"/>
      <c r="Z57" s="74"/>
      <c r="AA57" s="74"/>
      <c r="AB57" s="74"/>
      <c r="AC57" s="74"/>
      <c r="AD57" s="74"/>
      <c r="AE57" s="74"/>
    </row>
    <row r="58" spans="2:31" ht="14.65" customHeight="1">
      <c r="B58" s="66"/>
      <c r="C58" s="82"/>
      <c r="D58" s="82"/>
      <c r="E58" s="82"/>
      <c r="F58" s="89"/>
      <c r="G58" s="89"/>
      <c r="H58" s="74"/>
      <c r="I58" s="74"/>
      <c r="J58" s="117" t="s">
        <v>16553</v>
      </c>
      <c r="K58" s="117"/>
      <c r="L58" s="117"/>
      <c r="M58" s="117"/>
      <c r="N58" s="117"/>
      <c r="O58" s="117"/>
      <c r="P58" s="74"/>
      <c r="Q58" s="74"/>
      <c r="R58" s="74"/>
      <c r="S58" s="117" t="s">
        <v>16554</v>
      </c>
      <c r="T58" s="117"/>
      <c r="U58" s="117"/>
      <c r="V58" s="117"/>
      <c r="W58" s="117"/>
      <c r="X58" s="117"/>
      <c r="Y58" s="74"/>
      <c r="Z58" s="74"/>
      <c r="AA58" s="74"/>
      <c r="AB58" s="74"/>
      <c r="AC58" s="74"/>
      <c r="AD58" s="74"/>
      <c r="AE58" s="74"/>
    </row>
    <row r="59" spans="2:31" ht="15">
      <c r="B59" s="66"/>
      <c r="C59" s="82"/>
      <c r="D59" s="82"/>
      <c r="E59" s="82"/>
      <c r="F59" s="90"/>
      <c r="G59" s="90"/>
      <c r="H59" s="74"/>
      <c r="I59" s="74"/>
      <c r="J59" s="117" t="s">
        <v>16559</v>
      </c>
      <c r="K59" s="117"/>
      <c r="L59" s="117"/>
      <c r="M59" s="117"/>
      <c r="N59" s="117" t="s">
        <v>16560</v>
      </c>
      <c r="O59" s="117"/>
      <c r="P59" s="74"/>
      <c r="Q59" s="74"/>
      <c r="R59" s="74"/>
      <c r="S59" s="117" t="s">
        <v>16561</v>
      </c>
      <c r="T59" s="117"/>
      <c r="U59" s="117"/>
      <c r="V59" s="117"/>
      <c r="W59" s="117" t="s">
        <v>16474</v>
      </c>
      <c r="X59" s="117"/>
      <c r="Y59" s="74"/>
      <c r="Z59" s="74"/>
      <c r="AA59" s="74"/>
      <c r="AB59" s="74"/>
      <c r="AC59" s="74"/>
      <c r="AD59" s="74"/>
      <c r="AE59" s="74"/>
    </row>
    <row r="60" spans="2:31" ht="12.95" customHeight="1">
      <c r="B60" s="66"/>
      <c r="C60" s="59"/>
      <c r="D60" s="59"/>
      <c r="E60" s="59"/>
      <c r="F60" s="60"/>
      <c r="G60" s="60"/>
      <c r="R60" s="60"/>
      <c r="S60" s="60"/>
      <c r="T60" s="60"/>
      <c r="U60" s="60"/>
      <c r="V60" s="60"/>
      <c r="W60" s="60"/>
      <c r="X60" s="60"/>
    </row>
    <row r="61" spans="2:31" ht="12.95" customHeight="1">
      <c r="B61" s="66"/>
      <c r="C61" s="59"/>
      <c r="D61" s="59"/>
      <c r="E61" s="59"/>
      <c r="F61" s="60"/>
      <c r="G61" s="60"/>
      <c r="R61" s="60"/>
      <c r="S61" s="60"/>
      <c r="T61" s="60"/>
      <c r="U61" s="60"/>
      <c r="V61" s="60"/>
      <c r="W61" s="60"/>
      <c r="X61" s="60"/>
    </row>
    <row r="62" spans="2:31" ht="15">
      <c r="D62" s="59"/>
      <c r="E62" s="59"/>
    </row>
    <row r="63" spans="2:31" ht="15">
      <c r="D63" s="59"/>
      <c r="E63" s="59"/>
    </row>
    <row r="64" spans="2:31" ht="15">
      <c r="D64" s="59"/>
      <c r="E64" s="59"/>
    </row>
    <row r="65" spans="4:5" ht="15">
      <c r="D65" s="59"/>
      <c r="E65" s="59"/>
    </row>
  </sheetData>
  <sheetProtection selectLockedCells="1"/>
  <sortState xmlns:xlrd2="http://schemas.microsoft.com/office/spreadsheetml/2017/richdata2" ref="H13:AA47">
    <sortCondition ref="H13:H47"/>
  </sortState>
  <mergeCells count="16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r:uid="{00000000-0002-0000-0000-000000000000}">
          <x14:formula1>
            <xm:f>Cat_URG!$B$2:$B$111</xm:f>
          </x14:formula1>
          <xm:sqref>B9</xm:sqref>
        </x14:dataValidation>
        <x14:dataValidation type="list" allowBlank="1" showInputMessage="1" showErrorMessage="1" xr:uid="{00000000-0002-0000-0000-000001000000}">
          <x14:formula1>
            <xm:f>Cat_URG!$B$2:$B$111</xm:f>
          </x14:formula1>
          <xm:sqref>V9:X9</xm:sqref>
        </x14:dataValidation>
        <x14:dataValidation type="list" allowBlank="1" showInputMessage="1" showErrorMessage="1" xr:uid="{00000000-0002-0000-0000-000002000000}">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16543</v>
      </c>
      <c r="U2" s="43" t="s">
        <v>32</v>
      </c>
      <c r="V2" s="43" t="s">
        <v>33</v>
      </c>
      <c r="W2" s="43" t="s">
        <v>35</v>
      </c>
      <c r="X2" s="43" t="s">
        <v>36</v>
      </c>
      <c r="Y2" s="43" t="s">
        <v>38</v>
      </c>
      <c r="Z2" s="43" t="s">
        <v>39</v>
      </c>
      <c r="AA2" s="53" t="s">
        <v>16477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16546</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16482</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16480</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16488</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16487</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16487</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16487</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16489</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16487</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16481</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16482</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16491</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16492</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16488</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16493</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16494</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16481</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16482</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16482</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16495</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16488</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16493</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16496</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16497</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16493</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16498</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16499</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16500</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16501</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16502</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16486</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16500</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16492</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16488</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16494</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16481</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16482</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16482</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16503</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16504</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16505</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16482</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16506</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16501</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16500</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16496</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16488</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16497</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16488</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16493</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16507</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16496</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16488</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16481</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16482</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16482</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16503</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16496</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16497</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16501</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16500</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16492</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16488</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16488</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16494</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16490</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16482</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16482</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16507</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16501</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16492</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16488</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16494</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16481</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16488</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16481</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16482</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16482</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16503</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16501</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16508</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16502</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16490</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16509</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16500</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16496</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16495</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16500</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16498</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16488</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16494</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16490</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16492</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16488</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16488</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16494</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16481</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16482</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16482</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16503</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16496</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16497</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16493</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16480</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16486</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16500</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16501</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16496</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16482</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16482</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16503</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16501</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16500</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16500</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16482</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16497</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16501</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16492</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16488</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16488</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16494</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16481</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16488</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16494</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16481</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16482</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16482</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16503</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16499</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16482</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16501</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16495</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16496</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16497</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16500</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16488</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16488</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16490</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16510</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16492</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16488</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16488</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16511</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16481</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16482</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16482</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16488</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16510</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16488</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16497</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16510</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16500</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16491</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16488</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16488</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16511</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16481</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16482</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16482</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16503</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16490</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16496</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16497</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16498</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16500</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16501</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16488</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16490</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16492</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16488</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16488</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16511</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16481</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16482</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16482</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16495</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16512</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16505</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16486</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16512</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16486</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16496</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16493</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16498</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16500</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16501</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16491</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16480</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16490</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16480</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16486</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16500</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16501</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16491</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16492</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16488</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16488</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16511</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16481</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16482</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16482</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16495</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16496</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16488</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16497</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16493</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16498</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16490</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16511</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16481</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16482</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16482</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16499</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16513</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16514</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16495</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16504</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16504</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16493</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16504</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16501</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16510</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16490</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16496</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16515</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16500</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16500</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16488</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16501</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16492</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16488</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16488</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16490</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16503</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16496</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16492</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16488</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16511</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16481</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16482</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16482</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16490</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16481</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16482</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16512</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16505</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16502</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16501</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16491</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16491</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16496</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16497</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16488</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16492</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16480</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16500</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16488</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16511</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16511</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16511</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16516</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16516</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16481</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16482</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16482</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16482</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16481</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16482</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16482</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16482</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16482</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16482</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16481</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16482</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16482</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16488</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16488</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16481</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16482</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16482</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16488</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16517</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16481</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16482</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16482</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16517</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16517</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16506</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16486</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16482</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16482</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16486</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16486</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16486</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16486</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16518</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16486</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16486</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16481</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16486</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16486</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16486</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16481</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16482</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16482</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16512</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16512</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16481</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16482</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16482</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16503</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16512</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16512</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16481</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16482</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16482</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16495</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16482</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16495</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16503</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16519</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16519</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16520</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16481</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16482</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16492</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16521</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16481</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16482</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16482</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16521</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16481</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16482</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16482</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16495</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16522</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16510</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16481</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16482</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16482</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16523</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16524</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16516</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16516</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16481</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16482</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16482</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16496</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16516</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16515</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16498</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16504</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16488</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16488</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16504</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16525</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16525</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16481</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16482</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16482</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16498</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16498</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16481</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16482</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16482</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16526</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16516</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16481</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16482</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16482</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16506</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16505</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16505</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16504</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16481</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16482</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16482</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16481</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16482</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16482</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16482</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16482</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16481</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16482</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16482</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16482</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16482</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16527</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16505</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16505</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16502</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16528</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16498</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16507</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16492</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16482</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16507</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16482</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16481</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16481</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16482</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16482</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16502</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16497</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16501</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16482</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16497</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16481</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16482</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16482</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16482</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16527</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16484</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16484</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16481</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16482</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16482</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16484</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16529</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16529</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16484</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16482</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16482</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16529</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16529</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16526</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16489</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16530</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16481</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16529</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16529</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16481</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16506</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16506</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16506</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16529</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16481</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16482</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16482</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16506</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16506</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16506</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16529</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16481</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16482</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16482</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16506</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16506</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16506</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16529</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16481</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16482</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16482</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16531</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16529</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16481</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16482</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16482</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16529</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16481</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16482</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16482</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16488</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16486</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16529</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16481</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16482</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16482</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16519</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16512</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16481</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16482</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16482</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16529</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16529</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16481</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16482</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16482</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16523</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16523</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16523</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16523</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16523</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16523</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16527</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16481</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16482</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16504</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16504</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16504</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16493</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16481</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16482</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16482</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16523</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16523</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16523</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16523</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16481</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16482</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16482</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16523</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16504</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16523</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16481</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16482</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16482</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16523</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16532</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16481</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16482</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16482</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16523</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16499</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16493</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16481</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16482</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16482</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16490</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16490</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16490</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16490</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16481</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16482</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16482</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16489</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16489</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16489</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16481</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16482</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16482</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16489</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16490</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16490</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16481</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16482</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16482</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16490</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16490</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16481</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16482</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16482</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16533</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16481</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16482</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16482</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16489</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16489</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16481</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16482</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16482</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16526</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16526</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16481</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16482</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16482</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16511</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16488</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16534</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16529</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16535</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16533</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16494</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16494</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16494</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16494</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16482</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16536</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16526</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16526</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16526</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16481</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16482</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16482</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16528</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16481</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16482</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16482</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16528</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16528</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16528</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16528</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16537</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16528</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16537</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16537</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16538</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16538</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16538</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16538</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16481</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16482</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16482</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16538</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16538</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16481</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16482</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16482</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16538</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16538</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16515</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16528</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16528</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16528</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16481</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16482</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16482</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16494</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16489</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16500</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16500</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16500</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16500</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16500</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16519</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16500</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16500</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16500</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16500</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16482</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16482</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16519</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16519</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16481</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16482</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16482</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16519</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16519</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16481</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16482</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16482</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16530</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16530</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16481</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16482</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16482</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16484</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16527</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16527</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16527</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16482</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16482</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16527</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16486</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16509</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16527</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16527</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16481</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16482</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16482</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16481</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16481</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16481</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16482</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16482</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16481</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16481</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16481</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16482</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16482</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16503</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16481</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16482</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16482</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16503</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16508</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16482</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16482</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16514</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16514</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16514</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16539</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16514</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16498</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16489</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16539</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16539</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16498</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16481</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16489</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16489</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16489</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16540</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16489</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16481</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16482</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16482</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16501</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16501</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16501</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16501</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16501</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16481</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16482</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16482</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16501</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16514</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16539</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16539</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16514</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16481</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16482</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16482</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16514</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16498</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16498</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16498</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16498</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16481</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16482</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16482</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16498</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16498</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16511</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16482</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16482</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16482</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16482</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16482</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16482</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16481</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16482</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16482</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16530</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16530</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16481</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16482</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16482</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16511</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xr:uid="{00000000-0009-0000-0000-000001000000}"/>
  <sortState xmlns:xlrd2="http://schemas.microsoft.com/office/spreadsheetml/2017/richdata2"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2021-07-08T22:34:45Z</dcterms:modified>
</cp:coreProperties>
</file>